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tabRatio="918"/>
  </bookViews>
  <sheets>
    <sheet name="1. Plots Location - LandUse" sheetId="13" r:id="rId1"/>
    <sheet name="2. All 30+ cm" sheetId="3" r:id="rId2"/>
    <sheet name="3. All 10-30cm" sheetId="4" r:id="rId3"/>
    <sheet name="4. Diameter class" sheetId="20" r:id="rId4"/>
    <sheet name="5. All Tree Composition" sheetId="2" r:id="rId5"/>
    <sheet name="6. IVI &amp; Diversity index" sheetId="14" r:id="rId6"/>
    <sheet name="7. All Regen data" sheetId="5" r:id="rId7"/>
    <sheet name="8. IVI of regeneration" sheetId="15" r:id="rId8"/>
  </sheets>
  <definedNames>
    <definedName name="_xlnm._FilterDatabase" localSheetId="0" hidden="1">'1. Plots Location - LandUse'!$B$1:$K$46</definedName>
    <definedName name="_xlnm._FilterDatabase" localSheetId="1" hidden="1">'2. All 30+ cm'!$A$2:$M$58</definedName>
    <definedName name="_xlnm._FilterDatabase" localSheetId="2" hidden="1">'3. All 10-30cm'!$A$2:$M$77</definedName>
    <definedName name="_xlnm._FilterDatabase" localSheetId="3" hidden="1">'4. Diameter class'!$C$1:$E$132</definedName>
    <definedName name="_xlnm._FilterDatabase" localSheetId="4" hidden="1">'5. All Tree Composition'!$A$2:$N$29</definedName>
    <definedName name="_xlnm._FilterDatabase" localSheetId="6" hidden="1">'7. All Regen data'!$A$1:$G$82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5" l="1"/>
  <c r="O14" i="20" l="1"/>
  <c r="O6" i="20"/>
  <c r="O15" i="20"/>
  <c r="R3" i="14" l="1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2" i="14"/>
  <c r="M15" i="20" l="1"/>
  <c r="M6" i="20"/>
  <c r="M7" i="20"/>
  <c r="M8" i="20"/>
  <c r="M9" i="20"/>
  <c r="M10" i="20"/>
  <c r="M11" i="20"/>
  <c r="M12" i="20"/>
  <c r="M13" i="20"/>
  <c r="M14" i="20"/>
  <c r="M5" i="20"/>
  <c r="L15" i="20"/>
  <c r="D3" i="20"/>
  <c r="F3" i="20" s="1"/>
  <c r="D4" i="20"/>
  <c r="F4" i="20" s="1"/>
  <c r="D5" i="20"/>
  <c r="F5" i="20" s="1"/>
  <c r="D6" i="20"/>
  <c r="F6" i="20" s="1"/>
  <c r="D7" i="20"/>
  <c r="F7" i="20" s="1"/>
  <c r="D8" i="20"/>
  <c r="F8" i="20" s="1"/>
  <c r="D9" i="20"/>
  <c r="F9" i="20" s="1"/>
  <c r="D10" i="20"/>
  <c r="F10" i="20" s="1"/>
  <c r="D11" i="20"/>
  <c r="F11" i="20" s="1"/>
  <c r="D12" i="20"/>
  <c r="F12" i="20" s="1"/>
  <c r="D13" i="20"/>
  <c r="F13" i="20" s="1"/>
  <c r="D14" i="20"/>
  <c r="F14" i="20" s="1"/>
  <c r="D15" i="20"/>
  <c r="F15" i="20" s="1"/>
  <c r="D16" i="20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F42" i="20" s="1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D51" i="20"/>
  <c r="F51" i="20" s="1"/>
  <c r="D52" i="20"/>
  <c r="F52" i="20" s="1"/>
  <c r="D53" i="20"/>
  <c r="F53" i="20" s="1"/>
  <c r="D54" i="20"/>
  <c r="F54" i="20" s="1"/>
  <c r="D55" i="20"/>
  <c r="F55" i="20" s="1"/>
  <c r="D56" i="20"/>
  <c r="F56" i="20" s="1"/>
  <c r="D57" i="20"/>
  <c r="F57" i="20" s="1"/>
  <c r="D58" i="20"/>
  <c r="F58" i="20" s="1"/>
  <c r="D59" i="20"/>
  <c r="F59" i="20" s="1"/>
  <c r="D60" i="20"/>
  <c r="F60" i="20" s="1"/>
  <c r="D61" i="20"/>
  <c r="F61" i="20" s="1"/>
  <c r="D62" i="20"/>
  <c r="F62" i="20" s="1"/>
  <c r="D63" i="20"/>
  <c r="F63" i="20" s="1"/>
  <c r="D64" i="20"/>
  <c r="F64" i="20" s="1"/>
  <c r="D65" i="20"/>
  <c r="F65" i="20" s="1"/>
  <c r="D66" i="20"/>
  <c r="F66" i="20" s="1"/>
  <c r="D67" i="20"/>
  <c r="F67" i="20" s="1"/>
  <c r="D68" i="20"/>
  <c r="F68" i="20" s="1"/>
  <c r="D69" i="20"/>
  <c r="F69" i="20" s="1"/>
  <c r="D70" i="20"/>
  <c r="F70" i="20" s="1"/>
  <c r="D71" i="20"/>
  <c r="F71" i="20" s="1"/>
  <c r="D72" i="20"/>
  <c r="F72" i="20" s="1"/>
  <c r="D73" i="20"/>
  <c r="F73" i="20" s="1"/>
  <c r="D74" i="20"/>
  <c r="F74" i="20" s="1"/>
  <c r="D75" i="20"/>
  <c r="F75" i="20" s="1"/>
  <c r="D76" i="20"/>
  <c r="F76" i="20" s="1"/>
  <c r="D77" i="20"/>
  <c r="F77" i="20" s="1"/>
  <c r="D78" i="20"/>
  <c r="F78" i="20" s="1"/>
  <c r="D79" i="20"/>
  <c r="F79" i="20" s="1"/>
  <c r="D80" i="20"/>
  <c r="F80" i="20" s="1"/>
  <c r="D81" i="20"/>
  <c r="F81" i="20" s="1"/>
  <c r="D82" i="20"/>
  <c r="F82" i="20" s="1"/>
  <c r="D83" i="20"/>
  <c r="F83" i="20" s="1"/>
  <c r="D84" i="20"/>
  <c r="F84" i="20" s="1"/>
  <c r="D85" i="20"/>
  <c r="F85" i="20" s="1"/>
  <c r="D86" i="20"/>
  <c r="F86" i="20" s="1"/>
  <c r="D87" i="20"/>
  <c r="F87" i="20" s="1"/>
  <c r="D88" i="20"/>
  <c r="F88" i="20" s="1"/>
  <c r="D89" i="20"/>
  <c r="F89" i="20" s="1"/>
  <c r="D90" i="20"/>
  <c r="F90" i="20" s="1"/>
  <c r="D91" i="20"/>
  <c r="F91" i="20" s="1"/>
  <c r="D92" i="20"/>
  <c r="F92" i="20" s="1"/>
  <c r="D93" i="20"/>
  <c r="F93" i="20" s="1"/>
  <c r="D94" i="20"/>
  <c r="F94" i="20" s="1"/>
  <c r="D95" i="20"/>
  <c r="F95" i="20" s="1"/>
  <c r="D96" i="20"/>
  <c r="F96" i="20" s="1"/>
  <c r="D97" i="20"/>
  <c r="F97" i="20" s="1"/>
  <c r="D98" i="20"/>
  <c r="F98" i="20" s="1"/>
  <c r="D99" i="20"/>
  <c r="F99" i="20" s="1"/>
  <c r="D100" i="20"/>
  <c r="F100" i="20" s="1"/>
  <c r="D101" i="20"/>
  <c r="F101" i="20" s="1"/>
  <c r="D102" i="20"/>
  <c r="F102" i="20" s="1"/>
  <c r="D103" i="20"/>
  <c r="F103" i="20" s="1"/>
  <c r="D104" i="20"/>
  <c r="F104" i="20" s="1"/>
  <c r="D105" i="20"/>
  <c r="F105" i="20" s="1"/>
  <c r="D106" i="20"/>
  <c r="F106" i="20" s="1"/>
  <c r="D107" i="20"/>
  <c r="F107" i="20" s="1"/>
  <c r="D108" i="20"/>
  <c r="F108" i="20" s="1"/>
  <c r="D109" i="20"/>
  <c r="F109" i="20" s="1"/>
  <c r="D110" i="20"/>
  <c r="F110" i="20" s="1"/>
  <c r="D111" i="20"/>
  <c r="F111" i="20" s="1"/>
  <c r="D112" i="20"/>
  <c r="F112" i="20" s="1"/>
  <c r="D113" i="20"/>
  <c r="F113" i="20" s="1"/>
  <c r="D114" i="20"/>
  <c r="F114" i="20" s="1"/>
  <c r="D115" i="20"/>
  <c r="F115" i="20" s="1"/>
  <c r="D116" i="20"/>
  <c r="F116" i="20" s="1"/>
  <c r="D117" i="20"/>
  <c r="F117" i="20" s="1"/>
  <c r="D118" i="20"/>
  <c r="F118" i="20" s="1"/>
  <c r="D119" i="20"/>
  <c r="F119" i="20" s="1"/>
  <c r="D120" i="20"/>
  <c r="F120" i="20" s="1"/>
  <c r="D121" i="20"/>
  <c r="F121" i="20" s="1"/>
  <c r="D122" i="20"/>
  <c r="F122" i="20" s="1"/>
  <c r="D123" i="20"/>
  <c r="F123" i="20" s="1"/>
  <c r="D124" i="20"/>
  <c r="F124" i="20" s="1"/>
  <c r="D125" i="20"/>
  <c r="F125" i="20" s="1"/>
  <c r="D126" i="20"/>
  <c r="F126" i="20" s="1"/>
  <c r="D127" i="20"/>
  <c r="F127" i="20" s="1"/>
  <c r="D128" i="20"/>
  <c r="F128" i="20" s="1"/>
  <c r="D129" i="20"/>
  <c r="F129" i="20" s="1"/>
  <c r="D130" i="20"/>
  <c r="F130" i="20" s="1"/>
  <c r="D131" i="20"/>
  <c r="F131" i="20" s="1"/>
  <c r="D132" i="20"/>
  <c r="F132" i="20" s="1"/>
  <c r="D2" i="20"/>
  <c r="F2" i="20" s="1"/>
  <c r="K6" i="20" l="1"/>
  <c r="K7" i="20"/>
  <c r="K8" i="20"/>
  <c r="K9" i="20"/>
  <c r="K10" i="20"/>
  <c r="K11" i="20"/>
  <c r="K12" i="20"/>
  <c r="K13" i="20"/>
  <c r="K14" i="20"/>
  <c r="K5" i="20"/>
  <c r="K15" i="20" l="1"/>
  <c r="N14" i="20" s="1"/>
  <c r="H6" i="20"/>
  <c r="H7" i="20" s="1"/>
  <c r="H8" i="20" s="1"/>
  <c r="H9" i="20" s="1"/>
  <c r="H10" i="20" s="1"/>
  <c r="H11" i="20" s="1"/>
  <c r="H12" i="20" s="1"/>
  <c r="H13" i="20" s="1"/>
  <c r="H14" i="20" s="1"/>
  <c r="N6" i="20" l="1"/>
  <c r="N15" i="20" s="1"/>
  <c r="V2" i="14"/>
  <c r="G38" i="2" l="1"/>
  <c r="F38" i="2"/>
  <c r="H38" i="2"/>
  <c r="E38" i="2"/>
  <c r="D38" i="2"/>
  <c r="C38" i="2"/>
  <c r="G37" i="2"/>
  <c r="D37" i="2"/>
  <c r="M3" i="14" l="1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2" i="14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2" i="15"/>
  <c r="G32" i="15" s="1"/>
  <c r="F2" i="5"/>
  <c r="H3" i="15" l="1"/>
  <c r="H5" i="15"/>
  <c r="H7" i="15"/>
  <c r="H9" i="15"/>
  <c r="H11" i="15"/>
  <c r="H13" i="15"/>
  <c r="H15" i="15"/>
  <c r="H17" i="15"/>
  <c r="H19" i="15"/>
  <c r="H21" i="15"/>
  <c r="H23" i="15"/>
  <c r="H25" i="15"/>
  <c r="H27" i="15"/>
  <c r="H29" i="15"/>
  <c r="H31" i="15"/>
  <c r="H4" i="15"/>
  <c r="H6" i="15"/>
  <c r="H8" i="15"/>
  <c r="H10" i="15"/>
  <c r="H12" i="15"/>
  <c r="H14" i="15"/>
  <c r="H16" i="15"/>
  <c r="H18" i="15"/>
  <c r="H20" i="15"/>
  <c r="H22" i="15"/>
  <c r="H24" i="15"/>
  <c r="H26" i="15"/>
  <c r="H28" i="15"/>
  <c r="H30" i="15"/>
  <c r="H2" i="15"/>
  <c r="H32" i="15" l="1"/>
  <c r="F11" i="2" l="1"/>
  <c r="C2" i="14" s="1"/>
  <c r="M19" i="14"/>
  <c r="N3" i="14" l="1"/>
  <c r="N5" i="14"/>
  <c r="N7" i="14"/>
  <c r="N9" i="14"/>
  <c r="N11" i="14"/>
  <c r="N13" i="14"/>
  <c r="N15" i="14"/>
  <c r="N17" i="14"/>
  <c r="N2" i="14"/>
  <c r="N18" i="14"/>
  <c r="N16" i="14"/>
  <c r="N14" i="14"/>
  <c r="N12" i="14"/>
  <c r="N10" i="14"/>
  <c r="N8" i="14"/>
  <c r="N6" i="14"/>
  <c r="N4" i="14"/>
  <c r="N19" i="14" l="1"/>
  <c r="F59" i="13" l="1"/>
  <c r="F58" i="13"/>
  <c r="F57" i="13"/>
  <c r="C53" i="13" l="1"/>
  <c r="F73" i="5" l="1"/>
  <c r="F72" i="5"/>
  <c r="F71" i="5"/>
  <c r="D11" i="15" s="1"/>
  <c r="F70" i="5"/>
  <c r="F69" i="5"/>
  <c r="D24" i="15" s="1"/>
  <c r="F68" i="5"/>
  <c r="F67" i="5"/>
  <c r="F66" i="5"/>
  <c r="F65" i="5"/>
  <c r="F64" i="5"/>
  <c r="D3" i="15" s="1"/>
  <c r="F63" i="5"/>
  <c r="F58" i="5"/>
  <c r="F57" i="5"/>
  <c r="F56" i="5"/>
  <c r="F55" i="5"/>
  <c r="F54" i="5"/>
  <c r="F53" i="5"/>
  <c r="F52" i="5"/>
  <c r="F51" i="5"/>
  <c r="F50" i="5"/>
  <c r="F44" i="3"/>
  <c r="G44" i="3" s="1"/>
  <c r="J44" i="3"/>
  <c r="F45" i="3"/>
  <c r="G45" i="3" s="1"/>
  <c r="J45" i="3"/>
  <c r="F46" i="3"/>
  <c r="G46" i="3" s="1"/>
  <c r="J46" i="3"/>
  <c r="F47" i="3"/>
  <c r="G47" i="3" s="1"/>
  <c r="J47" i="3"/>
  <c r="F48" i="3"/>
  <c r="G48" i="3" s="1"/>
  <c r="J48" i="3"/>
  <c r="F49" i="3"/>
  <c r="G49" i="3" s="1"/>
  <c r="J49" i="3"/>
  <c r="F50" i="3"/>
  <c r="G50" i="3" s="1"/>
  <c r="J50" i="3"/>
  <c r="F51" i="3"/>
  <c r="G51" i="3" s="1"/>
  <c r="J51" i="3"/>
  <c r="F52" i="3"/>
  <c r="G52" i="3" s="1"/>
  <c r="J52" i="3"/>
  <c r="F53" i="3"/>
  <c r="G53" i="3" s="1"/>
  <c r="J53" i="3"/>
  <c r="F54" i="3"/>
  <c r="G54" i="3" s="1"/>
  <c r="J28" i="2" s="1"/>
  <c r="K28" i="2" s="1"/>
  <c r="J54" i="3"/>
  <c r="F55" i="3"/>
  <c r="G55" i="3" s="1"/>
  <c r="J55" i="3"/>
  <c r="F56" i="3"/>
  <c r="G56" i="3" s="1"/>
  <c r="J56" i="3"/>
  <c r="F57" i="3"/>
  <c r="G57" i="3" s="1"/>
  <c r="J29" i="2" s="1"/>
  <c r="K29" i="2" s="1"/>
  <c r="J57" i="3"/>
  <c r="F58" i="3"/>
  <c r="G58" i="3" s="1"/>
  <c r="J58" i="3"/>
  <c r="F59" i="5"/>
  <c r="F60" i="5"/>
  <c r="F61" i="5"/>
  <c r="F62" i="5"/>
  <c r="D20" i="15" s="1"/>
  <c r="F74" i="5"/>
  <c r="F75" i="5"/>
  <c r="F76" i="5"/>
  <c r="F77" i="5"/>
  <c r="F78" i="5"/>
  <c r="F79" i="5"/>
  <c r="F80" i="5"/>
  <c r="F81" i="5"/>
  <c r="F82" i="5"/>
  <c r="D16" i="15" s="1"/>
  <c r="F75" i="4"/>
  <c r="G75" i="4" s="1"/>
  <c r="J75" i="4"/>
  <c r="L75" i="4"/>
  <c r="F76" i="4"/>
  <c r="G76" i="4" s="1"/>
  <c r="L23" i="2" s="1"/>
  <c r="M23" i="2" s="1"/>
  <c r="J76" i="4"/>
  <c r="F77" i="4"/>
  <c r="G77" i="4" s="1"/>
  <c r="J77" i="4"/>
  <c r="F34" i="3"/>
  <c r="G34" i="3" s="1"/>
  <c r="J20" i="2" s="1"/>
  <c r="K20" i="2" s="1"/>
  <c r="J34" i="3"/>
  <c r="F35" i="3"/>
  <c r="G35" i="3" s="1"/>
  <c r="J35" i="3"/>
  <c r="F36" i="3"/>
  <c r="G36" i="3" s="1"/>
  <c r="J17" i="2" s="1"/>
  <c r="K17" i="2" s="1"/>
  <c r="J36" i="3"/>
  <c r="F37" i="3"/>
  <c r="G37" i="3" s="1"/>
  <c r="J37" i="3"/>
  <c r="F38" i="3"/>
  <c r="G38" i="3" s="1"/>
  <c r="J18" i="2" s="1"/>
  <c r="K18" i="2" s="1"/>
  <c r="J38" i="3"/>
  <c r="F39" i="3"/>
  <c r="G39" i="3" s="1"/>
  <c r="J39" i="3"/>
  <c r="F40" i="3"/>
  <c r="G40" i="3" s="1"/>
  <c r="J40" i="3"/>
  <c r="F41" i="3"/>
  <c r="G41" i="3" s="1"/>
  <c r="J22" i="2" s="1"/>
  <c r="K22" i="2" s="1"/>
  <c r="J41" i="3"/>
  <c r="F42" i="3"/>
  <c r="G42" i="3" s="1"/>
  <c r="J21" i="2" s="1"/>
  <c r="K21" i="2" s="1"/>
  <c r="J42" i="3"/>
  <c r="F43" i="3"/>
  <c r="G43" i="3" s="1"/>
  <c r="J24" i="2" s="1"/>
  <c r="K24" i="2" s="1"/>
  <c r="J43" i="3"/>
  <c r="F29" i="2"/>
  <c r="F28" i="2"/>
  <c r="F27" i="2"/>
  <c r="I27" i="2" s="1"/>
  <c r="F26" i="2"/>
  <c r="C37" i="2" s="1"/>
  <c r="E37" i="2" s="1"/>
  <c r="F17" i="2"/>
  <c r="F18" i="2"/>
  <c r="F19" i="2"/>
  <c r="F20" i="2"/>
  <c r="F21" i="2"/>
  <c r="F22" i="2"/>
  <c r="F23" i="2"/>
  <c r="C14" i="14" s="1"/>
  <c r="H23" i="2"/>
  <c r="F24" i="2"/>
  <c r="H25" i="2"/>
  <c r="J16" i="15" l="1"/>
  <c r="E16" i="15"/>
  <c r="J24" i="15"/>
  <c r="E24" i="15"/>
  <c r="J11" i="15"/>
  <c r="E11" i="15"/>
  <c r="J20" i="15"/>
  <c r="E20" i="15"/>
  <c r="J3" i="15"/>
  <c r="E3" i="15"/>
  <c r="D36" i="2"/>
  <c r="C36" i="2"/>
  <c r="E36" i="2" s="1"/>
  <c r="I14" i="14"/>
  <c r="D14" i="14"/>
  <c r="E14" i="14" s="1"/>
  <c r="F14" i="14" s="1"/>
  <c r="I26" i="2"/>
  <c r="I24" i="2"/>
  <c r="C17" i="14"/>
  <c r="I21" i="2"/>
  <c r="C16" i="14"/>
  <c r="I19" i="2"/>
  <c r="C8" i="14"/>
  <c r="I17" i="2"/>
  <c r="C15" i="14"/>
  <c r="I29" i="2"/>
  <c r="C5" i="14"/>
  <c r="I25" i="2"/>
  <c r="D12" i="14"/>
  <c r="I22" i="2"/>
  <c r="C4" i="14"/>
  <c r="I20" i="2"/>
  <c r="C11" i="14"/>
  <c r="I18" i="2"/>
  <c r="C10" i="14"/>
  <c r="I28" i="2"/>
  <c r="C3" i="14"/>
  <c r="D22" i="15"/>
  <c r="N24" i="2"/>
  <c r="H17" i="14"/>
  <c r="N21" i="2"/>
  <c r="H16" i="14"/>
  <c r="N17" i="2"/>
  <c r="H15" i="14"/>
  <c r="N18" i="2"/>
  <c r="H10" i="14"/>
  <c r="N20" i="2"/>
  <c r="H11" i="14"/>
  <c r="N29" i="2"/>
  <c r="H5" i="14"/>
  <c r="N22" i="2"/>
  <c r="H4" i="14"/>
  <c r="N28" i="2"/>
  <c r="H3" i="14"/>
  <c r="I23" i="2"/>
  <c r="L25" i="2"/>
  <c r="M25" i="2" s="1"/>
  <c r="G36" i="2" s="1"/>
  <c r="J23" i="2"/>
  <c r="K23" i="2" s="1"/>
  <c r="J19" i="2"/>
  <c r="K19" i="2" s="1"/>
  <c r="F36" i="2" s="1"/>
  <c r="H36" i="2" s="1"/>
  <c r="J27" i="2"/>
  <c r="K27" i="2" s="1"/>
  <c r="N27" i="2" s="1"/>
  <c r="J26" i="2"/>
  <c r="K26" i="2" s="1"/>
  <c r="K43" i="3"/>
  <c r="K42" i="3"/>
  <c r="K40" i="3"/>
  <c r="K39" i="3"/>
  <c r="K38" i="3"/>
  <c r="K37" i="3"/>
  <c r="K36" i="3"/>
  <c r="K35" i="3"/>
  <c r="K34" i="3"/>
  <c r="K58" i="3"/>
  <c r="K56" i="3"/>
  <c r="K55" i="3"/>
  <c r="K53" i="3"/>
  <c r="K52" i="3"/>
  <c r="K51" i="3"/>
  <c r="K50" i="3"/>
  <c r="K49" i="3"/>
  <c r="K48" i="3"/>
  <c r="K47" i="3"/>
  <c r="K46" i="3"/>
  <c r="K45" i="3"/>
  <c r="K44" i="3"/>
  <c r="K77" i="4"/>
  <c r="K76" i="4"/>
  <c r="K75" i="4"/>
  <c r="K41" i="3"/>
  <c r="K57" i="3"/>
  <c r="K54" i="3"/>
  <c r="L58" i="3"/>
  <c r="M58" i="3" s="1"/>
  <c r="L56" i="3"/>
  <c r="M56" i="3" s="1"/>
  <c r="L54" i="3"/>
  <c r="M54" i="3" s="1"/>
  <c r="L52" i="3"/>
  <c r="M52" i="3" s="1"/>
  <c r="L50" i="3"/>
  <c r="M50" i="3" s="1"/>
  <c r="L48" i="3"/>
  <c r="M48" i="3" s="1"/>
  <c r="L46" i="3"/>
  <c r="M46" i="3" s="1"/>
  <c r="L44" i="3"/>
  <c r="M44" i="3" s="1"/>
  <c r="L77" i="4"/>
  <c r="M77" i="4" s="1"/>
  <c r="M75" i="4"/>
  <c r="L42" i="3"/>
  <c r="M42" i="3" s="1"/>
  <c r="L40" i="3"/>
  <c r="M40" i="3" s="1"/>
  <c r="L38" i="3"/>
  <c r="M38" i="3" s="1"/>
  <c r="L36" i="3"/>
  <c r="M36" i="3" s="1"/>
  <c r="L34" i="3"/>
  <c r="M34" i="3" s="1"/>
  <c r="L57" i="3"/>
  <c r="M57" i="3" s="1"/>
  <c r="L55" i="3"/>
  <c r="M55" i="3" s="1"/>
  <c r="L53" i="3"/>
  <c r="M53" i="3" s="1"/>
  <c r="L51" i="3"/>
  <c r="M51" i="3" s="1"/>
  <c r="L49" i="3"/>
  <c r="M49" i="3" s="1"/>
  <c r="L47" i="3"/>
  <c r="M47" i="3" s="1"/>
  <c r="L45" i="3"/>
  <c r="M45" i="3" s="1"/>
  <c r="L76" i="4"/>
  <c r="M76" i="4" s="1"/>
  <c r="L43" i="3"/>
  <c r="M43" i="3" s="1"/>
  <c r="L41" i="3"/>
  <c r="M41" i="3" s="1"/>
  <c r="L39" i="3"/>
  <c r="M39" i="3" s="1"/>
  <c r="L37" i="3"/>
  <c r="M37" i="3" s="1"/>
  <c r="L35" i="3"/>
  <c r="M35" i="3" s="1"/>
  <c r="J22" i="15" l="1"/>
  <c r="E22" i="15"/>
  <c r="E3" i="14"/>
  <c r="F3" i="14" s="1"/>
  <c r="E10" i="14"/>
  <c r="F10" i="14" s="1"/>
  <c r="E11" i="14"/>
  <c r="F11" i="14" s="1"/>
  <c r="E4" i="14"/>
  <c r="F4" i="14" s="1"/>
  <c r="E12" i="14"/>
  <c r="F12" i="14" s="1"/>
  <c r="E5" i="14"/>
  <c r="F5" i="14" s="1"/>
  <c r="E15" i="14"/>
  <c r="F15" i="14" s="1"/>
  <c r="E8" i="14"/>
  <c r="F8" i="14" s="1"/>
  <c r="E17" i="14"/>
  <c r="F17" i="14" s="1"/>
  <c r="J5" i="14"/>
  <c r="K5" i="14" s="1"/>
  <c r="J11" i="14"/>
  <c r="K11" i="14" s="1"/>
  <c r="J15" i="14"/>
  <c r="K15" i="14" s="1"/>
  <c r="J10" i="14"/>
  <c r="K10" i="14" s="1"/>
  <c r="J17" i="14"/>
  <c r="K17" i="14" s="1"/>
  <c r="F37" i="2"/>
  <c r="H37" i="2" s="1"/>
  <c r="N26" i="2"/>
  <c r="N23" i="2"/>
  <c r="H14" i="14"/>
  <c r="N25" i="2"/>
  <c r="I12" i="14"/>
  <c r="J12" i="14" s="1"/>
  <c r="K12" i="14" s="1"/>
  <c r="N19" i="2"/>
  <c r="H8" i="14"/>
  <c r="J4" i="14"/>
  <c r="K4" i="14" s="1"/>
  <c r="J14" i="14"/>
  <c r="K14" i="14" s="1"/>
  <c r="J3" i="14"/>
  <c r="K3" i="14" s="1"/>
  <c r="J8" i="14"/>
  <c r="K8" i="14" s="1"/>
  <c r="F49" i="5"/>
  <c r="D5" i="15" s="1"/>
  <c r="F48" i="5"/>
  <c r="D13" i="15" s="1"/>
  <c r="F47" i="5"/>
  <c r="F46" i="5"/>
  <c r="D9" i="15" s="1"/>
  <c r="F45" i="5"/>
  <c r="D27" i="15" s="1"/>
  <c r="F44" i="5"/>
  <c r="F43" i="5"/>
  <c r="F42" i="5"/>
  <c r="D6" i="15" s="1"/>
  <c r="F41" i="5"/>
  <c r="F40" i="5"/>
  <c r="F39" i="5"/>
  <c r="F38" i="5"/>
  <c r="D10" i="15" s="1"/>
  <c r="F37" i="5"/>
  <c r="D2" i="15" s="1"/>
  <c r="F36" i="5"/>
  <c r="D12" i="15" s="1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D18" i="15" s="1"/>
  <c r="F21" i="5"/>
  <c r="D17" i="15" s="1"/>
  <c r="F20" i="5"/>
  <c r="F19" i="5"/>
  <c r="D14" i="15" s="1"/>
  <c r="F18" i="5"/>
  <c r="F17" i="5"/>
  <c r="F16" i="5"/>
  <c r="F15" i="5"/>
  <c r="D8" i="15" s="1"/>
  <c r="F14" i="5"/>
  <c r="D31" i="15" s="1"/>
  <c r="F13" i="5"/>
  <c r="D4" i="15" s="1"/>
  <c r="F12" i="5"/>
  <c r="F11" i="5"/>
  <c r="F10" i="5"/>
  <c r="D29" i="15" s="1"/>
  <c r="F9" i="5"/>
  <c r="F8" i="5"/>
  <c r="F7" i="5"/>
  <c r="F6" i="5"/>
  <c r="D19" i="15" s="1"/>
  <c r="F5" i="5"/>
  <c r="F4" i="5"/>
  <c r="F3" i="5"/>
  <c r="J74" i="4"/>
  <c r="F74" i="4"/>
  <c r="G74" i="4" s="1"/>
  <c r="J73" i="4"/>
  <c r="F73" i="4"/>
  <c r="L74" i="4" s="1"/>
  <c r="J72" i="4"/>
  <c r="F72" i="4"/>
  <c r="L73" i="4" s="1"/>
  <c r="J71" i="4"/>
  <c r="F71" i="4"/>
  <c r="L72" i="4" s="1"/>
  <c r="J70" i="4"/>
  <c r="F70" i="4"/>
  <c r="L71" i="4" s="1"/>
  <c r="J69" i="4"/>
  <c r="F69" i="4"/>
  <c r="L70" i="4" s="1"/>
  <c r="J68" i="4"/>
  <c r="F68" i="4"/>
  <c r="L69" i="4" s="1"/>
  <c r="J67" i="4"/>
  <c r="F67" i="4"/>
  <c r="L68" i="4" s="1"/>
  <c r="J66" i="4"/>
  <c r="F66" i="4"/>
  <c r="L67" i="4" s="1"/>
  <c r="J65" i="4"/>
  <c r="F65" i="4"/>
  <c r="L66" i="4" s="1"/>
  <c r="J64" i="4"/>
  <c r="F64" i="4"/>
  <c r="L65" i="4" s="1"/>
  <c r="J63" i="4"/>
  <c r="F63" i="4"/>
  <c r="L64" i="4" s="1"/>
  <c r="J62" i="4"/>
  <c r="F62" i="4"/>
  <c r="L63" i="4" s="1"/>
  <c r="J61" i="4"/>
  <c r="F61" i="4"/>
  <c r="L62" i="4" s="1"/>
  <c r="J60" i="4"/>
  <c r="F60" i="4"/>
  <c r="L61" i="4" s="1"/>
  <c r="J59" i="4"/>
  <c r="F59" i="4"/>
  <c r="L60" i="4" s="1"/>
  <c r="J58" i="4"/>
  <c r="F58" i="4"/>
  <c r="L59" i="4" s="1"/>
  <c r="J57" i="4"/>
  <c r="F57" i="4"/>
  <c r="L58" i="4" s="1"/>
  <c r="J56" i="4"/>
  <c r="F56" i="4"/>
  <c r="L57" i="4" s="1"/>
  <c r="J55" i="4"/>
  <c r="F55" i="4"/>
  <c r="L56" i="4" s="1"/>
  <c r="J54" i="4"/>
  <c r="F54" i="4"/>
  <c r="L55" i="4" s="1"/>
  <c r="J53" i="4"/>
  <c r="F53" i="4"/>
  <c r="L54" i="4" s="1"/>
  <c r="J52" i="4"/>
  <c r="F52" i="4"/>
  <c r="L53" i="4" s="1"/>
  <c r="J51" i="4"/>
  <c r="F51" i="4"/>
  <c r="L52" i="4" s="1"/>
  <c r="J50" i="4"/>
  <c r="F50" i="4"/>
  <c r="L51" i="4" s="1"/>
  <c r="J49" i="4"/>
  <c r="F49" i="4"/>
  <c r="L50" i="4" s="1"/>
  <c r="J48" i="4"/>
  <c r="F48" i="4"/>
  <c r="L49" i="4" s="1"/>
  <c r="J47" i="4"/>
  <c r="F47" i="4"/>
  <c r="L48" i="4" s="1"/>
  <c r="J46" i="4"/>
  <c r="F46" i="4"/>
  <c r="L47" i="4" s="1"/>
  <c r="J45" i="4"/>
  <c r="F45" i="4"/>
  <c r="L46" i="4" s="1"/>
  <c r="J44" i="4"/>
  <c r="F44" i="4"/>
  <c r="L45" i="4" s="1"/>
  <c r="J43" i="4"/>
  <c r="F43" i="4"/>
  <c r="L44" i="4" s="1"/>
  <c r="J42" i="4"/>
  <c r="F42" i="4"/>
  <c r="L43" i="4" s="1"/>
  <c r="J41" i="4"/>
  <c r="F41" i="4"/>
  <c r="L42" i="4" s="1"/>
  <c r="J40" i="4"/>
  <c r="F40" i="4"/>
  <c r="L41" i="4" s="1"/>
  <c r="J39" i="4"/>
  <c r="F39" i="4"/>
  <c r="L39" i="4" s="1"/>
  <c r="J38" i="4"/>
  <c r="F38" i="4"/>
  <c r="L38" i="4" s="1"/>
  <c r="J37" i="4"/>
  <c r="F37" i="4"/>
  <c r="L37" i="4" s="1"/>
  <c r="J36" i="4"/>
  <c r="F36" i="4"/>
  <c r="L36" i="4" s="1"/>
  <c r="J35" i="4"/>
  <c r="F35" i="4"/>
  <c r="L35" i="4" s="1"/>
  <c r="J34" i="4"/>
  <c r="F34" i="4"/>
  <c r="L34" i="4" s="1"/>
  <c r="J33" i="4"/>
  <c r="F33" i="4"/>
  <c r="L33" i="4" s="1"/>
  <c r="J32" i="4"/>
  <c r="F32" i="4"/>
  <c r="L32" i="4" s="1"/>
  <c r="J31" i="4"/>
  <c r="F31" i="4"/>
  <c r="L31" i="4" s="1"/>
  <c r="J30" i="4"/>
  <c r="F30" i="4"/>
  <c r="L30" i="4" s="1"/>
  <c r="J29" i="4"/>
  <c r="F29" i="4"/>
  <c r="L29" i="4" s="1"/>
  <c r="J28" i="4"/>
  <c r="F28" i="4"/>
  <c r="L28" i="4" s="1"/>
  <c r="J27" i="4"/>
  <c r="F27" i="4"/>
  <c r="L27" i="4" s="1"/>
  <c r="J26" i="4"/>
  <c r="F26" i="4"/>
  <c r="L26" i="4" s="1"/>
  <c r="J25" i="4"/>
  <c r="F25" i="4"/>
  <c r="L25" i="4" s="1"/>
  <c r="J24" i="4"/>
  <c r="F24" i="4"/>
  <c r="L24" i="4" s="1"/>
  <c r="J23" i="4"/>
  <c r="F23" i="4"/>
  <c r="L23" i="4" s="1"/>
  <c r="J22" i="4"/>
  <c r="F22" i="4"/>
  <c r="J21" i="4"/>
  <c r="F21" i="4"/>
  <c r="L21" i="4" s="1"/>
  <c r="J20" i="4"/>
  <c r="F20" i="4"/>
  <c r="J19" i="4"/>
  <c r="F19" i="4"/>
  <c r="L19" i="4" s="1"/>
  <c r="J18" i="4"/>
  <c r="F18" i="4"/>
  <c r="L18" i="4" s="1"/>
  <c r="J17" i="4"/>
  <c r="F17" i="4"/>
  <c r="L17" i="4" s="1"/>
  <c r="J16" i="4"/>
  <c r="F16" i="4"/>
  <c r="L16" i="4" s="1"/>
  <c r="J15" i="4"/>
  <c r="F15" i="4"/>
  <c r="L15" i="4" s="1"/>
  <c r="J14" i="4"/>
  <c r="F14" i="4"/>
  <c r="L14" i="4" s="1"/>
  <c r="J13" i="4"/>
  <c r="F13" i="4"/>
  <c r="L13" i="4" s="1"/>
  <c r="J12" i="4"/>
  <c r="F12" i="4"/>
  <c r="L12" i="4" s="1"/>
  <c r="J11" i="4"/>
  <c r="F11" i="4"/>
  <c r="L11" i="4" s="1"/>
  <c r="J10" i="4"/>
  <c r="F10" i="4"/>
  <c r="L10" i="4" s="1"/>
  <c r="J9" i="4"/>
  <c r="F9" i="4"/>
  <c r="L9" i="4" s="1"/>
  <c r="J8" i="4"/>
  <c r="F8" i="4"/>
  <c r="L8" i="4" s="1"/>
  <c r="J7" i="4"/>
  <c r="F7" i="4"/>
  <c r="L7" i="4" s="1"/>
  <c r="J6" i="4"/>
  <c r="F6" i="4"/>
  <c r="L6" i="4" s="1"/>
  <c r="J5" i="4"/>
  <c r="F5" i="4"/>
  <c r="L5" i="4" s="1"/>
  <c r="J4" i="4"/>
  <c r="F4" i="4"/>
  <c r="L4" i="4" s="1"/>
  <c r="J3" i="4"/>
  <c r="F3" i="4"/>
  <c r="L3" i="4" s="1"/>
  <c r="J33" i="3"/>
  <c r="F33" i="3"/>
  <c r="L33" i="3" s="1"/>
  <c r="J32" i="3"/>
  <c r="F32" i="3"/>
  <c r="L32" i="3" s="1"/>
  <c r="J31" i="3"/>
  <c r="F31" i="3"/>
  <c r="L31" i="3" s="1"/>
  <c r="J30" i="3"/>
  <c r="F30" i="3"/>
  <c r="L30" i="3" s="1"/>
  <c r="J29" i="3"/>
  <c r="F29" i="3"/>
  <c r="L29" i="3" s="1"/>
  <c r="J28" i="3"/>
  <c r="F28" i="3"/>
  <c r="L28" i="3" s="1"/>
  <c r="J27" i="3"/>
  <c r="F27" i="3"/>
  <c r="L27" i="3" s="1"/>
  <c r="J26" i="3"/>
  <c r="F26" i="3"/>
  <c r="L26" i="3" s="1"/>
  <c r="J25" i="3"/>
  <c r="F25" i="3"/>
  <c r="L25" i="3" s="1"/>
  <c r="J24" i="3"/>
  <c r="F24" i="3"/>
  <c r="L24" i="3" s="1"/>
  <c r="J23" i="3"/>
  <c r="F23" i="3"/>
  <c r="L23" i="3" s="1"/>
  <c r="J22" i="3"/>
  <c r="F22" i="3"/>
  <c r="L22" i="3" s="1"/>
  <c r="J21" i="3"/>
  <c r="F21" i="3"/>
  <c r="L21" i="3" s="1"/>
  <c r="J20" i="3"/>
  <c r="F20" i="3"/>
  <c r="L20" i="3" s="1"/>
  <c r="J19" i="3"/>
  <c r="F19" i="3"/>
  <c r="L19" i="3" s="1"/>
  <c r="J18" i="3"/>
  <c r="F18" i="3"/>
  <c r="L18" i="3" s="1"/>
  <c r="J17" i="3"/>
  <c r="F17" i="3"/>
  <c r="L17" i="3" s="1"/>
  <c r="J16" i="3"/>
  <c r="F16" i="3"/>
  <c r="L16" i="3" s="1"/>
  <c r="J15" i="3"/>
  <c r="F15" i="3"/>
  <c r="L15" i="3" s="1"/>
  <c r="J14" i="3"/>
  <c r="F14" i="3"/>
  <c r="L14" i="3" s="1"/>
  <c r="J13" i="3"/>
  <c r="F13" i="3"/>
  <c r="L13" i="3" s="1"/>
  <c r="J12" i="3"/>
  <c r="F12" i="3"/>
  <c r="L12" i="3" s="1"/>
  <c r="J11" i="3"/>
  <c r="F11" i="3"/>
  <c r="L11" i="3" s="1"/>
  <c r="J10" i="3"/>
  <c r="F10" i="3"/>
  <c r="L10" i="3" s="1"/>
  <c r="J9" i="3"/>
  <c r="F9" i="3"/>
  <c r="L9" i="3" s="1"/>
  <c r="J8" i="3"/>
  <c r="F8" i="3"/>
  <c r="L8" i="3" s="1"/>
  <c r="J7" i="3"/>
  <c r="F7" i="3"/>
  <c r="L7" i="3" s="1"/>
  <c r="J6" i="3"/>
  <c r="F6" i="3"/>
  <c r="L6" i="3" s="1"/>
  <c r="J5" i="3"/>
  <c r="F5" i="3"/>
  <c r="L5" i="3" s="1"/>
  <c r="J4" i="3"/>
  <c r="F4" i="3"/>
  <c r="L4" i="3" s="1"/>
  <c r="J3" i="3"/>
  <c r="F3" i="3"/>
  <c r="L3" i="3" s="1"/>
  <c r="H16" i="2"/>
  <c r="I16" i="2" s="1"/>
  <c r="H15" i="2"/>
  <c r="H14" i="2"/>
  <c r="I14" i="2" s="1"/>
  <c r="H13" i="2"/>
  <c r="H12" i="2"/>
  <c r="I12" i="2" s="1"/>
  <c r="H11" i="2"/>
  <c r="I11" i="2" s="1"/>
  <c r="H10" i="2"/>
  <c r="H9" i="2"/>
  <c r="I9" i="2" s="1"/>
  <c r="H8" i="2"/>
  <c r="D7" i="14" s="1"/>
  <c r="F8" i="2"/>
  <c r="C7" i="14" s="1"/>
  <c r="F7" i="2"/>
  <c r="I7" i="2" s="1"/>
  <c r="H6" i="2"/>
  <c r="H5" i="2"/>
  <c r="F5" i="2"/>
  <c r="H4" i="2"/>
  <c r="H3" i="2"/>
  <c r="D35" i="2" s="1"/>
  <c r="F3" i="2"/>
  <c r="C35" i="2" s="1"/>
  <c r="E35" i="2" s="1"/>
  <c r="J19" i="15" l="1"/>
  <c r="E19" i="15"/>
  <c r="J29" i="15"/>
  <c r="E29" i="15"/>
  <c r="J31" i="15"/>
  <c r="E31" i="15"/>
  <c r="J18" i="15"/>
  <c r="E18" i="15"/>
  <c r="J12" i="15"/>
  <c r="E12" i="15"/>
  <c r="J10" i="15"/>
  <c r="E10" i="15"/>
  <c r="J6" i="15"/>
  <c r="E6" i="15"/>
  <c r="J9" i="15"/>
  <c r="E9" i="15"/>
  <c r="J13" i="15"/>
  <c r="E13" i="15"/>
  <c r="J4" i="15"/>
  <c r="E4" i="15"/>
  <c r="J8" i="15"/>
  <c r="E8" i="15"/>
  <c r="J14" i="15"/>
  <c r="E14" i="15"/>
  <c r="J17" i="15"/>
  <c r="E17" i="15"/>
  <c r="J2" i="15"/>
  <c r="E2" i="15"/>
  <c r="J27" i="15"/>
  <c r="E27" i="15"/>
  <c r="J5" i="15"/>
  <c r="E5" i="15"/>
  <c r="C9" i="14"/>
  <c r="D2" i="14"/>
  <c r="D15" i="15"/>
  <c r="D21" i="15"/>
  <c r="D30" i="15"/>
  <c r="I4" i="2"/>
  <c r="D16" i="14"/>
  <c r="E7" i="14"/>
  <c r="F7" i="14" s="1"/>
  <c r="E16" i="14"/>
  <c r="F16" i="14" s="1"/>
  <c r="D9" i="14"/>
  <c r="I6" i="2"/>
  <c r="D18" i="14"/>
  <c r="I13" i="2"/>
  <c r="D13" i="14"/>
  <c r="I15" i="2"/>
  <c r="D6" i="14"/>
  <c r="D26" i="15"/>
  <c r="D28" i="15"/>
  <c r="D23" i="15"/>
  <c r="D25" i="15"/>
  <c r="D7" i="15"/>
  <c r="I5" i="2"/>
  <c r="I8" i="2"/>
  <c r="I3" i="2"/>
  <c r="M53" i="4"/>
  <c r="M54" i="4"/>
  <c r="G53" i="4"/>
  <c r="K53" i="4" s="1"/>
  <c r="M55" i="4"/>
  <c r="M56" i="4"/>
  <c r="M57" i="4"/>
  <c r="M58" i="4"/>
  <c r="M61" i="4"/>
  <c r="M62" i="4"/>
  <c r="M69" i="4"/>
  <c r="M70" i="4"/>
  <c r="K74" i="4"/>
  <c r="M4" i="4"/>
  <c r="M6" i="4"/>
  <c r="M8" i="4"/>
  <c r="M10" i="4"/>
  <c r="M12" i="4"/>
  <c r="M14" i="4"/>
  <c r="M16" i="4"/>
  <c r="M18" i="4"/>
  <c r="M19" i="4"/>
  <c r="M21" i="4"/>
  <c r="M23" i="4"/>
  <c r="M25" i="4"/>
  <c r="M27" i="4"/>
  <c r="M29" i="4"/>
  <c r="M31" i="4"/>
  <c r="M33" i="4"/>
  <c r="M35" i="4"/>
  <c r="M37" i="4"/>
  <c r="M39" i="4"/>
  <c r="M41" i="4"/>
  <c r="M42" i="4"/>
  <c r="M45" i="4"/>
  <c r="M46" i="4"/>
  <c r="G69" i="4"/>
  <c r="K69" i="4" s="1"/>
  <c r="M71" i="4"/>
  <c r="M72" i="4"/>
  <c r="M73" i="4"/>
  <c r="M74" i="4"/>
  <c r="G45" i="4"/>
  <c r="K45" i="4" s="1"/>
  <c r="M47" i="4"/>
  <c r="M48" i="4"/>
  <c r="M49" i="4"/>
  <c r="M50" i="4"/>
  <c r="G61" i="4"/>
  <c r="M63" i="4"/>
  <c r="M64" i="4"/>
  <c r="M65" i="4"/>
  <c r="M66" i="4"/>
  <c r="G4" i="4"/>
  <c r="K4" i="4" s="1"/>
  <c r="G6" i="4"/>
  <c r="K6" i="4" s="1"/>
  <c r="G8" i="4"/>
  <c r="K8" i="4" s="1"/>
  <c r="G10" i="4"/>
  <c r="K10" i="4" s="1"/>
  <c r="G12" i="4"/>
  <c r="K12" i="4" s="1"/>
  <c r="G14" i="4"/>
  <c r="K14" i="4" s="1"/>
  <c r="G16" i="4"/>
  <c r="K16" i="4" s="1"/>
  <c r="G18" i="4"/>
  <c r="K18" i="4" s="1"/>
  <c r="G19" i="4"/>
  <c r="K19" i="4" s="1"/>
  <c r="G21" i="4"/>
  <c r="K21" i="4" s="1"/>
  <c r="G23" i="4"/>
  <c r="K23" i="4" s="1"/>
  <c r="G25" i="4"/>
  <c r="K25" i="4" s="1"/>
  <c r="G27" i="4"/>
  <c r="K27" i="4" s="1"/>
  <c r="G29" i="4"/>
  <c r="K29" i="4" s="1"/>
  <c r="G31" i="4"/>
  <c r="K31" i="4" s="1"/>
  <c r="G33" i="4"/>
  <c r="K33" i="4" s="1"/>
  <c r="G35" i="4"/>
  <c r="K35" i="4" s="1"/>
  <c r="G37" i="4"/>
  <c r="K37" i="4" s="1"/>
  <c r="G39" i="4"/>
  <c r="K39" i="4" s="1"/>
  <c r="G41" i="4"/>
  <c r="M43" i="4"/>
  <c r="M44" i="4"/>
  <c r="G49" i="4"/>
  <c r="K49" i="4" s="1"/>
  <c r="M51" i="4"/>
  <c r="M52" i="4"/>
  <c r="G57" i="4"/>
  <c r="K57" i="4" s="1"/>
  <c r="M59" i="4"/>
  <c r="M60" i="4"/>
  <c r="G65" i="4"/>
  <c r="L15" i="2" s="1"/>
  <c r="M15" i="2" s="1"/>
  <c r="M67" i="4"/>
  <c r="M68" i="4"/>
  <c r="G73" i="4"/>
  <c r="K73" i="4" s="1"/>
  <c r="M3" i="4"/>
  <c r="M5" i="4"/>
  <c r="M7" i="4"/>
  <c r="M9" i="4"/>
  <c r="M11" i="4"/>
  <c r="M13" i="4"/>
  <c r="M15" i="4"/>
  <c r="M17" i="4"/>
  <c r="M24" i="4"/>
  <c r="M26" i="4"/>
  <c r="M28" i="4"/>
  <c r="M30" i="4"/>
  <c r="M32" i="4"/>
  <c r="M34" i="4"/>
  <c r="M36" i="4"/>
  <c r="M38" i="4"/>
  <c r="G43" i="4"/>
  <c r="K43" i="4" s="1"/>
  <c r="G47" i="4"/>
  <c r="K47" i="4" s="1"/>
  <c r="G51" i="4"/>
  <c r="K51" i="4" s="1"/>
  <c r="G55" i="4"/>
  <c r="K55" i="4" s="1"/>
  <c r="G59" i="4"/>
  <c r="G63" i="4"/>
  <c r="K63" i="4" s="1"/>
  <c r="G67" i="4"/>
  <c r="K67" i="4" s="1"/>
  <c r="G71" i="4"/>
  <c r="K71" i="4" s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G3" i="3"/>
  <c r="G5" i="3"/>
  <c r="K5" i="3" s="1"/>
  <c r="G7" i="3"/>
  <c r="G9" i="3"/>
  <c r="K9" i="3" s="1"/>
  <c r="G11" i="3"/>
  <c r="K11" i="3" s="1"/>
  <c r="G13" i="3"/>
  <c r="K13" i="3" s="1"/>
  <c r="G15" i="3"/>
  <c r="K15" i="3" s="1"/>
  <c r="G17" i="3"/>
  <c r="K17" i="3" s="1"/>
  <c r="G19" i="3"/>
  <c r="K19" i="3" s="1"/>
  <c r="G21" i="3"/>
  <c r="K21" i="3" s="1"/>
  <c r="G23" i="3"/>
  <c r="K23" i="3" s="1"/>
  <c r="G25" i="3"/>
  <c r="K25" i="3" s="1"/>
  <c r="G27" i="3"/>
  <c r="K27" i="3" s="1"/>
  <c r="G29" i="3"/>
  <c r="K29" i="3" s="1"/>
  <c r="G31" i="3"/>
  <c r="K31" i="3" s="1"/>
  <c r="G33" i="3"/>
  <c r="J11" i="2" s="1"/>
  <c r="K11" i="2" s="1"/>
  <c r="H2" i="14" s="1"/>
  <c r="I10" i="2"/>
  <c r="G4" i="3"/>
  <c r="K4" i="3" s="1"/>
  <c r="G6" i="3"/>
  <c r="G8" i="3"/>
  <c r="K8" i="3" s="1"/>
  <c r="G10" i="3"/>
  <c r="K10" i="3" s="1"/>
  <c r="G12" i="3"/>
  <c r="K12" i="3" s="1"/>
  <c r="G14" i="3"/>
  <c r="K14" i="3" s="1"/>
  <c r="G16" i="3"/>
  <c r="K16" i="3" s="1"/>
  <c r="G18" i="3"/>
  <c r="K18" i="3" s="1"/>
  <c r="G20" i="3"/>
  <c r="K20" i="3" s="1"/>
  <c r="G22" i="3"/>
  <c r="K22" i="3" s="1"/>
  <c r="G24" i="3"/>
  <c r="K24" i="3" s="1"/>
  <c r="G26" i="3"/>
  <c r="K26" i="3" s="1"/>
  <c r="G28" i="3"/>
  <c r="K28" i="3" s="1"/>
  <c r="G30" i="3"/>
  <c r="K30" i="3" s="1"/>
  <c r="G32" i="3"/>
  <c r="G3" i="4"/>
  <c r="G5" i="4"/>
  <c r="K5" i="4" s="1"/>
  <c r="G7" i="4"/>
  <c r="K7" i="4" s="1"/>
  <c r="G9" i="4"/>
  <c r="K9" i="4" s="1"/>
  <c r="G11" i="4"/>
  <c r="K11" i="4" s="1"/>
  <c r="G13" i="4"/>
  <c r="K13" i="4" s="1"/>
  <c r="G15" i="4"/>
  <c r="K15" i="4" s="1"/>
  <c r="G17" i="4"/>
  <c r="L20" i="4"/>
  <c r="M20" i="4" s="1"/>
  <c r="G20" i="4"/>
  <c r="K20" i="4" s="1"/>
  <c r="L22" i="4"/>
  <c r="M22" i="4" s="1"/>
  <c r="G22" i="4"/>
  <c r="K22" i="4" s="1"/>
  <c r="G24" i="4"/>
  <c r="G26" i="4"/>
  <c r="K26" i="4" s="1"/>
  <c r="G28" i="4"/>
  <c r="K28" i="4" s="1"/>
  <c r="G30" i="4"/>
  <c r="K30" i="4" s="1"/>
  <c r="G32" i="4"/>
  <c r="K32" i="4" s="1"/>
  <c r="G34" i="4"/>
  <c r="K34" i="4" s="1"/>
  <c r="G36" i="4"/>
  <c r="G38" i="4"/>
  <c r="K38" i="4" s="1"/>
  <c r="G40" i="4"/>
  <c r="L40" i="4"/>
  <c r="M40" i="4" s="1"/>
  <c r="G42" i="4"/>
  <c r="K42" i="4" s="1"/>
  <c r="G44" i="4"/>
  <c r="K44" i="4" s="1"/>
  <c r="G46" i="4"/>
  <c r="K46" i="4" s="1"/>
  <c r="G48" i="4"/>
  <c r="G50" i="4"/>
  <c r="K50" i="4" s="1"/>
  <c r="G52" i="4"/>
  <c r="K52" i="4" s="1"/>
  <c r="G54" i="4"/>
  <c r="K54" i="4" s="1"/>
  <c r="G56" i="4"/>
  <c r="K56" i="4" s="1"/>
  <c r="G58" i="4"/>
  <c r="K58" i="4" s="1"/>
  <c r="G60" i="4"/>
  <c r="G62" i="4"/>
  <c r="K62" i="4" s="1"/>
  <c r="G64" i="4"/>
  <c r="G66" i="4"/>
  <c r="G68" i="4"/>
  <c r="K68" i="4" s="1"/>
  <c r="G70" i="4"/>
  <c r="K70" i="4" s="1"/>
  <c r="G72" i="4"/>
  <c r="K72" i="4" s="1"/>
  <c r="J25" i="15" l="1"/>
  <c r="E25" i="15"/>
  <c r="J28" i="15"/>
  <c r="E28" i="15"/>
  <c r="J21" i="15"/>
  <c r="E21" i="15"/>
  <c r="J7" i="15"/>
  <c r="E7" i="15"/>
  <c r="J23" i="15"/>
  <c r="E23" i="15"/>
  <c r="J26" i="15"/>
  <c r="E26" i="15"/>
  <c r="J30" i="15"/>
  <c r="E30" i="15"/>
  <c r="J15" i="15"/>
  <c r="E15" i="15"/>
  <c r="E32" i="15"/>
  <c r="F17" i="15"/>
  <c r="F8" i="15"/>
  <c r="F13" i="15"/>
  <c r="F6" i="15"/>
  <c r="F12" i="15"/>
  <c r="F31" i="15"/>
  <c r="F19" i="15"/>
  <c r="E6" i="14"/>
  <c r="F6" i="14" s="1"/>
  <c r="E13" i="14"/>
  <c r="F13" i="14" s="1"/>
  <c r="E18" i="14"/>
  <c r="F18" i="14" s="1"/>
  <c r="E2" i="14"/>
  <c r="F2" i="14" s="1"/>
  <c r="E9" i="14"/>
  <c r="F9" i="14" s="1"/>
  <c r="J32" i="15"/>
  <c r="K15" i="15" s="1"/>
  <c r="D32" i="15"/>
  <c r="I7" i="15" s="1"/>
  <c r="N15" i="2"/>
  <c r="I6" i="14"/>
  <c r="K64" i="4"/>
  <c r="L14" i="2"/>
  <c r="M14" i="2" s="1"/>
  <c r="N14" i="2" s="1"/>
  <c r="K61" i="4"/>
  <c r="L13" i="2"/>
  <c r="M13" i="2" s="1"/>
  <c r="K48" i="4"/>
  <c r="L10" i="2"/>
  <c r="M10" i="2" s="1"/>
  <c r="K59" i="4"/>
  <c r="L11" i="2"/>
  <c r="M11" i="2" s="1"/>
  <c r="N11" i="2" s="1"/>
  <c r="K40" i="4"/>
  <c r="L9" i="2"/>
  <c r="M9" i="2" s="1"/>
  <c r="N9" i="2" s="1"/>
  <c r="K41" i="4"/>
  <c r="L8" i="2"/>
  <c r="M8" i="2" s="1"/>
  <c r="I7" i="14" s="1"/>
  <c r="K32" i="3"/>
  <c r="J8" i="2"/>
  <c r="K8" i="2" s="1"/>
  <c r="K66" i="4"/>
  <c r="L16" i="2"/>
  <c r="M16" i="2" s="1"/>
  <c r="N16" i="2" s="1"/>
  <c r="K24" i="4"/>
  <c r="L6" i="2"/>
  <c r="M6" i="2" s="1"/>
  <c r="K36" i="4"/>
  <c r="L5" i="2"/>
  <c r="M5" i="2" s="1"/>
  <c r="K6" i="3"/>
  <c r="J5" i="2"/>
  <c r="K5" i="2" s="1"/>
  <c r="N5" i="2" s="1"/>
  <c r="K7" i="3"/>
  <c r="J7" i="2"/>
  <c r="K7" i="2" s="1"/>
  <c r="N7" i="2" s="1"/>
  <c r="K3" i="3"/>
  <c r="J3" i="2"/>
  <c r="K3" i="2" s="1"/>
  <c r="K60" i="4"/>
  <c r="L12" i="2"/>
  <c r="M12" i="2" s="1"/>
  <c r="N12" i="2" s="1"/>
  <c r="K17" i="4"/>
  <c r="L4" i="2"/>
  <c r="M4" i="2" s="1"/>
  <c r="K3" i="4"/>
  <c r="L3" i="2"/>
  <c r="M3" i="2" s="1"/>
  <c r="G35" i="2" s="1"/>
  <c r="K65" i="4"/>
  <c r="K33" i="3"/>
  <c r="F20" i="15" l="1"/>
  <c r="F24" i="15"/>
  <c r="F3" i="15"/>
  <c r="F11" i="15"/>
  <c r="F16" i="15"/>
  <c r="F22" i="15"/>
  <c r="F5" i="15"/>
  <c r="F29" i="15"/>
  <c r="F18" i="15"/>
  <c r="F10" i="15"/>
  <c r="F9" i="15"/>
  <c r="F4" i="15"/>
  <c r="F14" i="15"/>
  <c r="F2" i="15"/>
  <c r="F27" i="15"/>
  <c r="F15" i="15"/>
  <c r="F30" i="15"/>
  <c r="F26" i="15"/>
  <c r="F23" i="15"/>
  <c r="F7" i="15"/>
  <c r="F21" i="15"/>
  <c r="F28" i="15"/>
  <c r="F25" i="15"/>
  <c r="F35" i="2"/>
  <c r="H35" i="2" s="1"/>
  <c r="H9" i="14"/>
  <c r="I26" i="15"/>
  <c r="K3" i="15"/>
  <c r="K24" i="15"/>
  <c r="K20" i="15"/>
  <c r="K16" i="15"/>
  <c r="K11" i="15"/>
  <c r="K22" i="15"/>
  <c r="K29" i="15"/>
  <c r="K18" i="15"/>
  <c r="K10" i="15"/>
  <c r="K9" i="15"/>
  <c r="K4" i="15"/>
  <c r="K14" i="15"/>
  <c r="K5" i="15"/>
  <c r="K19" i="15"/>
  <c r="K31" i="15"/>
  <c r="K12" i="15"/>
  <c r="K6" i="15"/>
  <c r="K13" i="15"/>
  <c r="K8" i="15"/>
  <c r="K17" i="15"/>
  <c r="K2" i="15"/>
  <c r="K27" i="15"/>
  <c r="K23" i="15"/>
  <c r="K21" i="15"/>
  <c r="K25" i="15"/>
  <c r="I28" i="15"/>
  <c r="K30" i="15"/>
  <c r="K26" i="15"/>
  <c r="K7" i="15"/>
  <c r="L7" i="15" s="1"/>
  <c r="K28" i="15"/>
  <c r="I3" i="15"/>
  <c r="L3" i="15" s="1"/>
  <c r="I24" i="15"/>
  <c r="L24" i="15" s="1"/>
  <c r="I20" i="15"/>
  <c r="L20" i="15" s="1"/>
  <c r="I16" i="15"/>
  <c r="L16" i="15" s="1"/>
  <c r="I11" i="15"/>
  <c r="L11" i="15" s="1"/>
  <c r="I22" i="15"/>
  <c r="L22" i="15" s="1"/>
  <c r="I29" i="15"/>
  <c r="L29" i="15" s="1"/>
  <c r="I18" i="15"/>
  <c r="L18" i="15" s="1"/>
  <c r="I10" i="15"/>
  <c r="L10" i="15" s="1"/>
  <c r="I9" i="15"/>
  <c r="L9" i="15" s="1"/>
  <c r="I15" i="15"/>
  <c r="L15" i="15" s="1"/>
  <c r="I4" i="15"/>
  <c r="I14" i="15"/>
  <c r="I30" i="15"/>
  <c r="I5" i="15"/>
  <c r="L5" i="15" s="1"/>
  <c r="I19" i="15"/>
  <c r="L19" i="15" s="1"/>
  <c r="I31" i="15"/>
  <c r="L31" i="15" s="1"/>
  <c r="I12" i="15"/>
  <c r="L12" i="15" s="1"/>
  <c r="I6" i="15"/>
  <c r="L6" i="15" s="1"/>
  <c r="I13" i="15"/>
  <c r="L13" i="15" s="1"/>
  <c r="I21" i="15"/>
  <c r="I8" i="15"/>
  <c r="I17" i="15"/>
  <c r="I2" i="15"/>
  <c r="I27" i="15"/>
  <c r="I25" i="15"/>
  <c r="I23" i="15"/>
  <c r="L23" i="15" s="1"/>
  <c r="J6" i="14"/>
  <c r="K6" i="14" s="1"/>
  <c r="N6" i="2"/>
  <c r="I18" i="14"/>
  <c r="J18" i="14" s="1"/>
  <c r="K18" i="14" s="1"/>
  <c r="N4" i="2"/>
  <c r="I16" i="14"/>
  <c r="J16" i="14" s="1"/>
  <c r="K16" i="14" s="1"/>
  <c r="N13" i="2"/>
  <c r="I13" i="14"/>
  <c r="J13" i="14" s="1"/>
  <c r="K13" i="14" s="1"/>
  <c r="N3" i="2"/>
  <c r="I9" i="14"/>
  <c r="N8" i="2"/>
  <c r="H7" i="14"/>
  <c r="J7" i="14" s="1"/>
  <c r="K7" i="14" s="1"/>
  <c r="N10" i="2"/>
  <c r="I2" i="14"/>
  <c r="J2" i="14" s="1"/>
  <c r="K2" i="14" s="1"/>
  <c r="E19" i="14"/>
  <c r="AA2" i="14" l="1"/>
  <c r="G3" i="14"/>
  <c r="G11" i="14"/>
  <c r="G12" i="14"/>
  <c r="G15" i="14"/>
  <c r="G17" i="14"/>
  <c r="G14" i="14"/>
  <c r="G10" i="14"/>
  <c r="G4" i="14"/>
  <c r="G5" i="14"/>
  <c r="G8" i="14"/>
  <c r="G16" i="14"/>
  <c r="G13" i="14"/>
  <c r="G7" i="14"/>
  <c r="G6" i="14"/>
  <c r="G18" i="14"/>
  <c r="G2" i="14"/>
  <c r="G9" i="14"/>
  <c r="J9" i="14"/>
  <c r="K9" i="14" s="1"/>
  <c r="L27" i="15"/>
  <c r="L17" i="15"/>
  <c r="L21" i="15"/>
  <c r="L14" i="15"/>
  <c r="Z2" i="14"/>
  <c r="Y2" i="14"/>
  <c r="K32" i="15"/>
  <c r="L25" i="15"/>
  <c r="L2" i="15"/>
  <c r="L8" i="15"/>
  <c r="L30" i="15"/>
  <c r="L4" i="15"/>
  <c r="L28" i="15"/>
  <c r="L26" i="15"/>
  <c r="S15" i="14"/>
  <c r="S11" i="14"/>
  <c r="S5" i="14"/>
  <c r="S3" i="14"/>
  <c r="S17" i="14"/>
  <c r="S4" i="14"/>
  <c r="S10" i="14"/>
  <c r="S8" i="14"/>
  <c r="S12" i="14"/>
  <c r="S14" i="14"/>
  <c r="S9" i="14"/>
  <c r="S7" i="14"/>
  <c r="S13" i="14"/>
  <c r="S16" i="14"/>
  <c r="S18" i="14"/>
  <c r="S6" i="14"/>
  <c r="S2" i="14"/>
  <c r="I32" i="15"/>
  <c r="O4" i="14"/>
  <c r="O15" i="14"/>
  <c r="O5" i="14"/>
  <c r="O17" i="14"/>
  <c r="O10" i="14"/>
  <c r="O11" i="14"/>
  <c r="O3" i="14"/>
  <c r="O8" i="14"/>
  <c r="O14" i="14"/>
  <c r="O12" i="14"/>
  <c r="O7" i="14"/>
  <c r="O18" i="14"/>
  <c r="O6" i="14"/>
  <c r="O9" i="14"/>
  <c r="O16" i="14"/>
  <c r="O13" i="14"/>
  <c r="O2" i="14"/>
  <c r="J19" i="14"/>
  <c r="L7" i="14" s="1"/>
  <c r="L16" i="14" l="1"/>
  <c r="L6" i="14"/>
  <c r="P13" i="14"/>
  <c r="L3" i="14"/>
  <c r="L10" i="14"/>
  <c r="L8" i="14"/>
  <c r="L12" i="14"/>
  <c r="L15" i="14"/>
  <c r="L4" i="14"/>
  <c r="L11" i="14"/>
  <c r="L14" i="14"/>
  <c r="L17" i="14"/>
  <c r="L5" i="14"/>
  <c r="L9" i="14"/>
  <c r="L18" i="14"/>
  <c r="L13" i="14"/>
  <c r="L2" i="14"/>
  <c r="L32" i="15"/>
  <c r="W16" i="14"/>
  <c r="T16" i="14"/>
  <c r="T7" i="14"/>
  <c r="W7" i="14"/>
  <c r="W14" i="14"/>
  <c r="T14" i="14"/>
  <c r="W8" i="14"/>
  <c r="T8" i="14"/>
  <c r="W4" i="14"/>
  <c r="T4" i="14"/>
  <c r="T3" i="14"/>
  <c r="W3" i="14"/>
  <c r="T11" i="14"/>
  <c r="W11" i="14"/>
  <c r="W6" i="14"/>
  <c r="T6" i="14"/>
  <c r="T2" i="14"/>
  <c r="W2" i="14"/>
  <c r="W18" i="14"/>
  <c r="T18" i="14"/>
  <c r="T13" i="14"/>
  <c r="W13" i="14"/>
  <c r="T9" i="14"/>
  <c r="W9" i="14"/>
  <c r="W12" i="14"/>
  <c r="T12" i="14"/>
  <c r="W10" i="14"/>
  <c r="T10" i="14"/>
  <c r="T17" i="14"/>
  <c r="W17" i="14"/>
  <c r="T5" i="14"/>
  <c r="W5" i="14"/>
  <c r="T15" i="14"/>
  <c r="W15" i="14"/>
  <c r="Q13" i="14"/>
  <c r="P18" i="14"/>
  <c r="Q18" i="14" s="1"/>
  <c r="P9" i="14"/>
  <c r="Q9" i="14" s="1"/>
  <c r="P11" i="14"/>
  <c r="Q11" i="14" s="1"/>
  <c r="P5" i="14"/>
  <c r="Q5" i="14" s="1"/>
  <c r="P17" i="14"/>
  <c r="Q17" i="14" s="1"/>
  <c r="P10" i="14"/>
  <c r="Q10" i="14" s="1"/>
  <c r="P15" i="14"/>
  <c r="Q15" i="14" s="1"/>
  <c r="P3" i="14"/>
  <c r="Q3" i="14" s="1"/>
  <c r="P8" i="14"/>
  <c r="Q8" i="14" s="1"/>
  <c r="P12" i="14"/>
  <c r="Q12" i="14" s="1"/>
  <c r="P4" i="14"/>
  <c r="Q4" i="14" s="1"/>
  <c r="P14" i="14"/>
  <c r="Q14" i="14" s="1"/>
  <c r="P6" i="14"/>
  <c r="Q6" i="14" s="1"/>
  <c r="P16" i="14"/>
  <c r="Q16" i="14" s="1"/>
  <c r="P2" i="14"/>
  <c r="Q2" i="14" s="1"/>
  <c r="P7" i="14"/>
  <c r="Q7" i="14" s="1"/>
  <c r="O19" i="14"/>
  <c r="W19" i="14" l="1"/>
  <c r="T19" i="14"/>
  <c r="X2" i="14"/>
  <c r="U2" i="14"/>
  <c r="AB2" i="14" s="1"/>
  <c r="Q19" i="14"/>
  <c r="P19" i="14"/>
</calcChain>
</file>

<file path=xl/comments1.xml><?xml version="1.0" encoding="utf-8"?>
<comments xmlns="http://schemas.openxmlformats.org/spreadsheetml/2006/main">
  <authors>
    <author>Author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Area of the plot where trees of 30cm or above has been measured is 2000m²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Area of the plot where trees of 10-30cm has been measured is 314.16m²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Area of the plot where trees of 30cm or above has been measured is 2000m²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Area of the plot where trees of 10-30cm has been measured is 314.16m²</t>
        </r>
      </text>
    </comment>
    <comment ref="B3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comprised of 9 vegetation plots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comprised of 7 vegetation plots</t>
        </r>
      </text>
    </comment>
    <comment ref="B3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comprised of 6 vegetation plots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H= - ∑pi ln(⁡pi)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H'= lnS
S= total no. of species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D= ∑pi²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Species Richness:
 Menhinick's index, D = (S / √N)
S= number of species
N= total no. of individuals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Margalef’s index, R = (S-1)/Ln(N)
S= number of species
N= total no. of individuals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Pielou's evenness index:
J'= Shanon diversity index </t>
        </r>
        <r>
          <rPr>
            <sz val="9"/>
            <color indexed="81"/>
            <rFont val="Times New Roman"/>
            <family val="1"/>
          </rPr>
          <t>÷ ln(Number of species)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quadrats where 10-30cm and above dbh trees are present.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Area of the plot where regeneration has been measured is 50.0146m²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quadrats where regenerations are present.</t>
        </r>
      </text>
    </comment>
  </commentList>
</comments>
</file>

<file path=xl/sharedStrings.xml><?xml version="1.0" encoding="utf-8"?>
<sst xmlns="http://schemas.openxmlformats.org/spreadsheetml/2006/main" count="1106" uniqueCount="214">
  <si>
    <t>&gt;30cm</t>
  </si>
  <si>
    <t>10-30cm</t>
  </si>
  <si>
    <t>Tract no.</t>
  </si>
  <si>
    <t>Plot no.</t>
  </si>
  <si>
    <t>Common name</t>
  </si>
  <si>
    <t>Scientific name</t>
  </si>
  <si>
    <t>P1</t>
  </si>
  <si>
    <t>Garjan</t>
  </si>
  <si>
    <t>Dipterocarpus turbinatus</t>
  </si>
  <si>
    <t>Jam</t>
  </si>
  <si>
    <t>Syzygium cumini</t>
  </si>
  <si>
    <t>P2</t>
  </si>
  <si>
    <t>Dhaki Jam</t>
  </si>
  <si>
    <t>Syzygium grande</t>
  </si>
  <si>
    <t>P3</t>
  </si>
  <si>
    <t>P4</t>
  </si>
  <si>
    <t>Minjiri</t>
  </si>
  <si>
    <t>Cassia siamea</t>
  </si>
  <si>
    <t>Akashmoni</t>
  </si>
  <si>
    <t>Accacia auriculiformis</t>
  </si>
  <si>
    <t>Menda</t>
  </si>
  <si>
    <t>Kanchan</t>
  </si>
  <si>
    <t>Bauhinia acuminata</t>
  </si>
  <si>
    <t>Tract</t>
  </si>
  <si>
    <t>Plot</t>
  </si>
  <si>
    <t>DBH (cm)</t>
  </si>
  <si>
    <t>DBH
(m)</t>
  </si>
  <si>
    <t>Basal Area
(m^2)</t>
  </si>
  <si>
    <t>Height (m)</t>
  </si>
  <si>
    <t>No.</t>
  </si>
  <si>
    <t>No. of stem per ha.</t>
  </si>
  <si>
    <t>Volume per ha.
(m3)</t>
  </si>
  <si>
    <t>T1</t>
  </si>
  <si>
    <t>T3</t>
  </si>
  <si>
    <t>10-30 cm DBH</t>
  </si>
  <si>
    <t>Acacia auriculiformis</t>
  </si>
  <si>
    <t>No. of stems</t>
  </si>
  <si>
    <t>No. of stems per ha.</t>
  </si>
  <si>
    <t>Asam</t>
  </si>
  <si>
    <t>Tamarindus indica</t>
  </si>
  <si>
    <t>Kachua</t>
  </si>
  <si>
    <t>Aporosa dioica</t>
  </si>
  <si>
    <t>Kurus</t>
  </si>
  <si>
    <t>Holarrhena antidysenterica</t>
  </si>
  <si>
    <t>Moos</t>
  </si>
  <si>
    <t>Pterospermum acerifolium</t>
  </si>
  <si>
    <t>Haldu</t>
  </si>
  <si>
    <t>Adina cordifolia</t>
  </si>
  <si>
    <t>Hartaki</t>
  </si>
  <si>
    <t>Terminalia chebula</t>
  </si>
  <si>
    <t>Agar</t>
  </si>
  <si>
    <t>Aquilaria agallocha</t>
  </si>
  <si>
    <t>T2</t>
  </si>
  <si>
    <t>Batna</t>
  </si>
  <si>
    <t>Quercus spicata</t>
  </si>
  <si>
    <t>Dumur</t>
  </si>
  <si>
    <t>Ficus hispida</t>
  </si>
  <si>
    <t>Gamar</t>
  </si>
  <si>
    <t>Gmelina arborea</t>
  </si>
  <si>
    <t>Goda</t>
  </si>
  <si>
    <t>Stereospermum personatum</t>
  </si>
  <si>
    <t>Teak</t>
  </si>
  <si>
    <t>Tectona grandis</t>
  </si>
  <si>
    <t>Kanar</t>
  </si>
  <si>
    <t>Bauhinia purpurea</t>
  </si>
  <si>
    <t>Dewa</t>
  </si>
  <si>
    <t>T4</t>
  </si>
  <si>
    <t>Chatian</t>
  </si>
  <si>
    <t>Alstonia scholaris</t>
  </si>
  <si>
    <t>Khudi Jam</t>
  </si>
  <si>
    <t>Syzygium fruticosum</t>
  </si>
  <si>
    <t>Artocarpus chaplasha</t>
  </si>
  <si>
    <t>Harina</t>
  </si>
  <si>
    <t>Callicarpa macrophylla</t>
  </si>
  <si>
    <t>Koroi</t>
  </si>
  <si>
    <t>Albizia procera</t>
  </si>
  <si>
    <t>T6</t>
  </si>
  <si>
    <t>Bot</t>
  </si>
  <si>
    <t>Ficus bengalensis</t>
  </si>
  <si>
    <t>Dhali Garjan</t>
  </si>
  <si>
    <t>Dipterocarpus alatus</t>
  </si>
  <si>
    <t>Puti jam</t>
  </si>
  <si>
    <t>Telsur</t>
  </si>
  <si>
    <t>Hopea odorata</t>
  </si>
  <si>
    <t>Asar</t>
  </si>
  <si>
    <t>Pterospermum semisagittatum</t>
  </si>
  <si>
    <t>T9</t>
  </si>
  <si>
    <t>Chapalish</t>
  </si>
  <si>
    <t>T10</t>
  </si>
  <si>
    <t>Eucalyptus</t>
  </si>
  <si>
    <t>Eucalyptus camaldulensis</t>
  </si>
  <si>
    <t>T8</t>
  </si>
  <si>
    <t>Kadam</t>
  </si>
  <si>
    <t>Anthocephalus chinensis</t>
  </si>
  <si>
    <t>Borta</t>
  </si>
  <si>
    <t>Artocarpus lacucha</t>
  </si>
  <si>
    <t>T5</t>
  </si>
  <si>
    <t>Mangium</t>
  </si>
  <si>
    <t>Acacia mangium</t>
  </si>
  <si>
    <t>Keora</t>
  </si>
  <si>
    <t>Sonneratia apetala</t>
  </si>
  <si>
    <t>Baen</t>
  </si>
  <si>
    <t>Avicennia officinalis</t>
  </si>
  <si>
    <t>Tract No.</t>
  </si>
  <si>
    <t>GPS Position</t>
  </si>
  <si>
    <t>Location</t>
  </si>
  <si>
    <t>Plot No.</t>
  </si>
  <si>
    <t>Lat.</t>
  </si>
  <si>
    <t>Lang.</t>
  </si>
  <si>
    <t>Division</t>
  </si>
  <si>
    <t>District</t>
  </si>
  <si>
    <t>Thana</t>
  </si>
  <si>
    <t>Cox's Bazar North</t>
  </si>
  <si>
    <t>Cox's Bazar</t>
  </si>
  <si>
    <t>Ramu</t>
  </si>
  <si>
    <t>Cultivated land</t>
  </si>
  <si>
    <t>Chokoria</t>
  </si>
  <si>
    <t>T7</t>
  </si>
  <si>
    <t>T11</t>
  </si>
  <si>
    <t>Land use</t>
  </si>
  <si>
    <t>Vegetation</t>
  </si>
  <si>
    <t>Barren land</t>
  </si>
  <si>
    <t>Settlement</t>
  </si>
  <si>
    <t>Sl.</t>
  </si>
  <si>
    <t>Cultivated Land</t>
  </si>
  <si>
    <t>Barren Land</t>
  </si>
  <si>
    <t>Land use types of plots</t>
  </si>
  <si>
    <t>Total</t>
  </si>
  <si>
    <t>30+ cm DBH</t>
  </si>
  <si>
    <t>20*100</t>
  </si>
  <si>
    <t>Sub-plot 1</t>
  </si>
  <si>
    <t>10m radius</t>
  </si>
  <si>
    <t>Sub-plot 2</t>
  </si>
  <si>
    <t>3.99m radius</t>
  </si>
  <si>
    <t>Purpose</t>
  </si>
  <si>
    <t>trees with dbh 30cm or above</t>
  </si>
  <si>
    <t>trees with dbh 10-30cm</t>
  </si>
  <si>
    <t>trees with dbh below 10cm (regeneration)</t>
  </si>
  <si>
    <t>Dimension</t>
  </si>
  <si>
    <r>
      <t>Area (m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</si>
  <si>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t>Area of plots used for data collection</t>
  </si>
  <si>
    <t>All DBH (10cm or above)</t>
  </si>
  <si>
    <t>Volume per tree
(m3)</t>
  </si>
  <si>
    <t>Species</t>
  </si>
  <si>
    <t>No. of quadrats species occurs</t>
  </si>
  <si>
    <t>Total stems in all quadrats</t>
  </si>
  <si>
    <t>Basal Area per ha.
(m^2)</t>
  </si>
  <si>
    <t>Total basal area per ha.</t>
  </si>
  <si>
    <t>Total stems per plot</t>
  </si>
  <si>
    <t>Total stems per ha.</t>
  </si>
  <si>
    <t>Total basal area per plot</t>
  </si>
  <si>
    <t>IVI
(RF+RD+RDo)</t>
  </si>
  <si>
    <t>Frequency 
(No. of quadrats/Total quadrats)</t>
  </si>
  <si>
    <t>Abundance
(No. of individuals in all quadrats/ No. of quadrats in which species occurred)</t>
  </si>
  <si>
    <t>IVI
(RF+RD+RA)</t>
  </si>
  <si>
    <t>Relative Frequency (RF%)</t>
  </si>
  <si>
    <t>Relative Density (RD%)
(Total no. of individual species/Total no. of all species)</t>
  </si>
  <si>
    <t>Relative Dominance (RDo%)
(Basal area of individual species/Total basal area of all species)</t>
  </si>
  <si>
    <t>Relative Abundance (RA%)
(Abundance of each species/ Total Abundance)</t>
  </si>
  <si>
    <t xml:space="preserve">Shannon Index (H) </t>
  </si>
  <si>
    <t xml:space="preserve">Simpson Index (D) </t>
  </si>
  <si>
    <t>pi
(no. of individuals of one species/ total no. of individuals)</t>
  </si>
  <si>
    <t>pi*ln(pi)</t>
  </si>
  <si>
    <r>
      <t>pi</t>
    </r>
    <r>
      <rPr>
        <b/>
        <sz val="11"/>
        <color theme="1"/>
        <rFont val="Calibri"/>
        <family val="2"/>
      </rPr>
      <t>²</t>
    </r>
  </si>
  <si>
    <t>Sl. no.</t>
  </si>
  <si>
    <t>Stems per ha., DBH &gt;30cm</t>
  </si>
  <si>
    <t>Stems per ha., DBH 10-30cm</t>
  </si>
  <si>
    <t>Stems per ha., All DBH 10cm or above</t>
  </si>
  <si>
    <t>Basal area per ha., DBH &gt;30cm</t>
  </si>
  <si>
    <t>Basal area per ha., DBH 10-30cm</t>
  </si>
  <si>
    <t>Basal area per ha., All DBH 10cm or above</t>
  </si>
  <si>
    <t>Litsea glutinosa</t>
  </si>
  <si>
    <t>Upazila</t>
  </si>
  <si>
    <t>No. of species</t>
  </si>
  <si>
    <t>Margalef's Index</t>
  </si>
  <si>
    <t>Total density of all species</t>
  </si>
  <si>
    <t>Relative Density (RD%)
(Total no. of individual of a species/Total no. of all species)</t>
  </si>
  <si>
    <t>Species Evenness</t>
  </si>
  <si>
    <t>Cox's Bazar North forest division</t>
  </si>
  <si>
    <t>Stem density, Basal area and no. of Species of vegetation covers in Cox's Bazar north forest division</t>
  </si>
  <si>
    <t>Shannon’s maximum diversity index</t>
  </si>
  <si>
    <t>Menhinick’s index</t>
  </si>
  <si>
    <t>Bins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</si>
  <si>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</si>
  <si>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</si>
  <si>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</si>
  <si>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</si>
  <si>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</si>
  <si>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</si>
  <si>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</si>
  <si>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</si>
  <si>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90-99</t>
  </si>
  <si>
    <r>
      <t>100</t>
    </r>
    <r>
      <rPr>
        <sz val="11"/>
        <color theme="1"/>
        <rFont val="Calibri"/>
        <family val="2"/>
      </rPr>
      <t>≤</t>
    </r>
  </si>
  <si>
    <t>Diameter class</t>
  </si>
  <si>
    <t>Stand density % by individual species</t>
  </si>
  <si>
    <t>Basal area % by individual species</t>
  </si>
  <si>
    <t>Stems per ha. (dbh 10 cm or higher)</t>
  </si>
  <si>
    <t>Total no. of stems (30cm or above)</t>
  </si>
  <si>
    <t>Total no. of stems (10-30cm)</t>
  </si>
  <si>
    <t>Total basal area (30cm or above)</t>
  </si>
  <si>
    <t>Total basal area (10-30cm)</t>
  </si>
  <si>
    <t>Total Basal area in all quadrats</t>
  </si>
  <si>
    <t>Basal area per ha. (dbh 10 cm or higher)</t>
  </si>
  <si>
    <t>Total no. of stems per ha.</t>
  </si>
  <si>
    <t>Regen density % by individual species</t>
  </si>
  <si>
    <t>Regens per ha.</t>
  </si>
  <si>
    <t>DBH (m)</t>
  </si>
  <si>
    <t>Basal Area</t>
  </si>
  <si>
    <t>Basal Area (m^2)</t>
  </si>
  <si>
    <t>Basal Area per ha.</t>
  </si>
  <si>
    <t>IVI (%)</t>
  </si>
  <si>
    <t>stems %</t>
  </si>
  <si>
    <t>basal area %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</si>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</sst>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u val="double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imes New Roman"/>
      <family val="1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" fontId="0" fillId="3" borderId="11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2" fontId="0" fillId="4" borderId="11" xfId="0" applyNumberForma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165" fontId="0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1" fontId="0" fillId="9" borderId="24" xfId="0" applyNumberFormat="1" applyFill="1" applyBorder="1" applyAlignment="1">
      <alignment horizontal="center" vertical="center" wrapText="1"/>
    </xf>
    <xf numFmtId="1" fontId="1" fillId="9" borderId="24" xfId="0" applyNumberFormat="1" applyFont="1" applyFill="1" applyBorder="1" applyAlignment="1">
      <alignment horizontal="center" vertical="center" wrapText="1"/>
    </xf>
    <xf numFmtId="165" fontId="0" fillId="9" borderId="24" xfId="0" applyNumberForma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165" fontId="1" fillId="9" borderId="2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0" fillId="11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11" borderId="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9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5" fontId="1" fillId="10" borderId="1" xfId="0" applyNumberFormat="1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8262889552596E-2"/>
          <c:y val="5.1669571180570396E-2"/>
          <c:w val="0.57251274625154602"/>
          <c:h val="0.88313169268319358"/>
        </c:manualLayout>
      </c:layout>
      <c:pieChart>
        <c:varyColors val="1"/>
        <c:ser>
          <c:idx val="1"/>
          <c:order val="1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8D4-4DC6-94F7-9FBE187D18C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8D4-4DC6-94F7-9FBE187D18C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8D4-4DC6-94F7-9FBE187D18C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8D4-4DC6-94F7-9FBE187D18CA}"/>
              </c:ext>
            </c:extLst>
          </c:dPt>
          <c:dLbls>
            <c:dLbl>
              <c:idx val="0"/>
              <c:layout>
                <c:manualLayout>
                  <c:x val="-0.14695363079615048"/>
                  <c:y val="4.16666666666666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D4-4DC6-94F7-9FBE187D18CA}"/>
                </c:ext>
              </c:extLst>
            </c:dLbl>
            <c:dLbl>
              <c:idx val="1"/>
              <c:layout>
                <c:manualLayout>
                  <c:x val="0.14111418831266781"/>
                  <c:y val="-5.8417177019539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D4-4DC6-94F7-9FBE187D18CA}"/>
                </c:ext>
              </c:extLst>
            </c:dLbl>
            <c:dLbl>
              <c:idx val="2"/>
              <c:layout>
                <c:manualLayout>
                  <c:x val="6.8035840347542759E-2"/>
                  <c:y val="0.1323858996792067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D4-4DC6-94F7-9FBE187D18CA}"/>
                </c:ext>
              </c:extLst>
            </c:dLbl>
            <c:dLbl>
              <c:idx val="3"/>
              <c:layout>
                <c:manualLayout>
                  <c:x val="3.940459166742083E-2"/>
                  <c:y val="0.1283912948381452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8D4-4DC6-94F7-9FBE187D18CA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 Plots Location - LandUse'!$A$49:$A$52</c:f>
              <c:strCache>
                <c:ptCount val="4"/>
                <c:pt idx="0">
                  <c:v>Vegetation</c:v>
                </c:pt>
                <c:pt idx="1">
                  <c:v>Cultivated Land</c:v>
                </c:pt>
                <c:pt idx="2">
                  <c:v>Settlement</c:v>
                </c:pt>
                <c:pt idx="3">
                  <c:v>Barren Land</c:v>
                </c:pt>
              </c:strCache>
            </c:strRef>
          </c:cat>
          <c:val>
            <c:numRef>
              <c:f>'1. Plots Location - LandUse'!$C$49:$C$52</c:f>
              <c:numCache>
                <c:formatCode>General</c:formatCode>
                <c:ptCount val="4"/>
                <c:pt idx="0">
                  <c:v>22</c:v>
                </c:pt>
                <c:pt idx="1">
                  <c:v>17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4-4DC6-94F7-9FBE187D18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F98E-4564-AC20-6AB8900729C1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F98E-4564-AC20-6AB8900729C1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F98E-4564-AC20-6AB8900729C1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F-F98E-4564-AC20-6AB8900729C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 Plots Location - LandUse'!$A$49:$A$52</c15:sqref>
                        </c15:formulaRef>
                      </c:ext>
                    </c:extLst>
                    <c:strCache>
                      <c:ptCount val="4"/>
                      <c:pt idx="0">
                        <c:v>Vegetation</c:v>
                      </c:pt>
                      <c:pt idx="1">
                        <c:v>Cultivated Land</c:v>
                      </c:pt>
                      <c:pt idx="2">
                        <c:v>Settlement</c:v>
                      </c:pt>
                      <c:pt idx="3">
                        <c:v>Barren 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 Plots Location - LandUse'!$B$49:$B$52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8D4-4DC6-94F7-9FBE187D18C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929224364195852"/>
          <c:y val="0.32369021580635754"/>
          <c:w val="0.28817063294597467"/>
          <c:h val="0.40779126567512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633545806774165E-2"/>
          <c:y val="6.1528506853310003E-2"/>
          <c:w val="0.7699717535308086"/>
          <c:h val="0.6577035215943755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Diameter class'!$K$4</c:f>
              <c:strCache>
                <c:ptCount val="1"/>
                <c:pt idx="0">
                  <c:v>No. of stems per ha.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'4. Diameter class'!$I$5:$I$14</c:f>
              <c:strCache>
                <c:ptCount val="10"/>
                <c:pt idx="0">
                  <c:v>10-19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60-69</c:v>
                </c:pt>
                <c:pt idx="6">
                  <c:v>70-79</c:v>
                </c:pt>
                <c:pt idx="7">
                  <c:v>80-89</c:v>
                </c:pt>
                <c:pt idx="8">
                  <c:v>90-99</c:v>
                </c:pt>
                <c:pt idx="9">
                  <c:v>100≤</c:v>
                </c:pt>
              </c:strCache>
            </c:strRef>
          </c:cat>
          <c:val>
            <c:numRef>
              <c:f>'4. Diameter class'!$K$5:$K$14</c:f>
              <c:numCache>
                <c:formatCode>0</c:formatCode>
                <c:ptCount val="10"/>
                <c:pt idx="0">
                  <c:v>52.090909090909093</c:v>
                </c:pt>
                <c:pt idx="1">
                  <c:v>56.454545454545453</c:v>
                </c:pt>
                <c:pt idx="2">
                  <c:v>6.1363636363636367</c:v>
                </c:pt>
                <c:pt idx="3">
                  <c:v>2.5</c:v>
                </c:pt>
                <c:pt idx="4" formatCode="0.0">
                  <c:v>0.45454545454545453</c:v>
                </c:pt>
                <c:pt idx="5" formatCode="0.0">
                  <c:v>0.22727272727272727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3.4090909090909092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6-4E62-8FC2-A5156FDF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5"/>
        <c:axId val="353793936"/>
        <c:axId val="3537885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 Diameter class'!$J$4</c15:sqref>
                        </c15:formulaRef>
                      </c:ext>
                    </c:extLst>
                    <c:strCache>
                      <c:ptCount val="1"/>
                      <c:pt idx="0">
                        <c:v>No. of stems</c:v>
                      </c:pt>
                    </c:strCache>
                  </c:strRef>
                </c:tx>
                <c:spPr>
                  <a:solidFill>
                    <a:schemeClr val="dk1">
                      <a:tint val="885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'4. Diameter class'!$I$5:$I$14</c15:sqref>
                        </c15:formulaRef>
                      </c:ext>
                    </c:extLst>
                    <c:strCache>
                      <c:ptCount val="10"/>
                      <c:pt idx="0">
                        <c:v>10-19</c:v>
                      </c:pt>
                      <c:pt idx="1">
                        <c:v>20-29</c:v>
                      </c:pt>
                      <c:pt idx="2">
                        <c:v>30-39</c:v>
                      </c:pt>
                      <c:pt idx="3">
                        <c:v>40-49</c:v>
                      </c:pt>
                      <c:pt idx="4">
                        <c:v>50-59</c:v>
                      </c:pt>
                      <c:pt idx="5">
                        <c:v>60-69</c:v>
                      </c:pt>
                      <c:pt idx="6">
                        <c:v>70-79</c:v>
                      </c:pt>
                      <c:pt idx="7">
                        <c:v>80-89</c:v>
                      </c:pt>
                      <c:pt idx="8">
                        <c:v>90-99</c:v>
                      </c:pt>
                      <c:pt idx="9">
                        <c:v>100≤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 Diameter class'!$J$5:$J$14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1146</c:v>
                      </c:pt>
                      <c:pt idx="1">
                        <c:v>1242</c:v>
                      </c:pt>
                      <c:pt idx="2">
                        <c:v>135</c:v>
                      </c:pt>
                      <c:pt idx="3">
                        <c:v>55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3D6-4E62-8FC2-A5156FDFEAF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'4. Diameter class'!$M$4</c:f>
              <c:strCache>
                <c:ptCount val="1"/>
                <c:pt idx="0">
                  <c:v>Basal Area per ha.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'4. Diameter class'!$I$5:$I$14</c:f>
              <c:strCache>
                <c:ptCount val="10"/>
                <c:pt idx="0">
                  <c:v>10-19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60-69</c:v>
                </c:pt>
                <c:pt idx="6">
                  <c:v>70-79</c:v>
                </c:pt>
                <c:pt idx="7">
                  <c:v>80-89</c:v>
                </c:pt>
                <c:pt idx="8">
                  <c:v>90-99</c:v>
                </c:pt>
                <c:pt idx="9">
                  <c:v>100≤</c:v>
                </c:pt>
              </c:strCache>
            </c:strRef>
          </c:cat>
          <c:val>
            <c:numRef>
              <c:f>'4. Diameter class'!$M$5:$M$14</c:f>
              <c:numCache>
                <c:formatCode>0.00</c:formatCode>
                <c:ptCount val="10"/>
                <c:pt idx="0">
                  <c:v>3.4090909090909088E-2</c:v>
                </c:pt>
                <c:pt idx="1">
                  <c:v>7.3636363636363639E-2</c:v>
                </c:pt>
                <c:pt idx="2">
                  <c:v>0.11318181818181819</c:v>
                </c:pt>
                <c:pt idx="3">
                  <c:v>7.3636363636363639E-2</c:v>
                </c:pt>
                <c:pt idx="4">
                  <c:v>1.9545454545454546E-2</c:v>
                </c:pt>
                <c:pt idx="5">
                  <c:v>1.2727272727272728E-2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1.4004545454545454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D6-4E62-8FC2-A5156FDF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97776"/>
        <c:axId val="22903032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'4. Diameter class'!$L$4</c15:sqref>
                        </c15:formulaRef>
                      </c:ext>
                    </c:extLst>
                    <c:strCache>
                      <c:ptCount val="1"/>
                      <c:pt idx="0">
                        <c:v>Basal Area</c:v>
                      </c:pt>
                    </c:strCache>
                  </c:strRef>
                </c:tx>
                <c:spPr>
                  <a:ln w="28575" cap="rnd">
                    <a:solidFill>
                      <a:schemeClr val="dk1">
                        <a:tint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'4. Diameter class'!$I$5:$I$14</c15:sqref>
                        </c15:formulaRef>
                      </c:ext>
                    </c:extLst>
                    <c:strCache>
                      <c:ptCount val="10"/>
                      <c:pt idx="0">
                        <c:v>10-19</c:v>
                      </c:pt>
                      <c:pt idx="1">
                        <c:v>20-29</c:v>
                      </c:pt>
                      <c:pt idx="2">
                        <c:v>30-39</c:v>
                      </c:pt>
                      <c:pt idx="3">
                        <c:v>40-49</c:v>
                      </c:pt>
                      <c:pt idx="4">
                        <c:v>50-59</c:v>
                      </c:pt>
                      <c:pt idx="5">
                        <c:v>60-69</c:v>
                      </c:pt>
                      <c:pt idx="6">
                        <c:v>70-79</c:v>
                      </c:pt>
                      <c:pt idx="7">
                        <c:v>80-89</c:v>
                      </c:pt>
                      <c:pt idx="8">
                        <c:v>90-99</c:v>
                      </c:pt>
                      <c:pt idx="9">
                        <c:v>100≤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 Diameter class'!$L$5:$L$14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0.75</c:v>
                      </c:pt>
                      <c:pt idx="1">
                        <c:v>1.62</c:v>
                      </c:pt>
                      <c:pt idx="2">
                        <c:v>2.4900000000000002</c:v>
                      </c:pt>
                      <c:pt idx="3">
                        <c:v>1.62</c:v>
                      </c:pt>
                      <c:pt idx="4">
                        <c:v>0.43</c:v>
                      </c:pt>
                      <c:pt idx="5">
                        <c:v>0.28000000000000003</c:v>
                      </c:pt>
                      <c:pt idx="6" formatCode="0">
                        <c:v>0</c:v>
                      </c:pt>
                      <c:pt idx="7" formatCode="0">
                        <c:v>0</c:v>
                      </c:pt>
                      <c:pt idx="8" formatCode="0">
                        <c:v>0</c:v>
                      </c:pt>
                      <c:pt idx="9">
                        <c:v>30.81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3D6-4E62-8FC2-A5156FDFEAFD}"/>
                  </c:ext>
                </c:extLst>
              </c15:ser>
            </c15:filteredLineSeries>
          </c:ext>
        </c:extLst>
      </c:lineChart>
      <c:valAx>
        <c:axId val="35378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93936"/>
        <c:crosses val="autoZero"/>
        <c:crossBetween val="between"/>
      </c:valAx>
      <c:catAx>
        <c:axId val="3537939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88528"/>
        <c:crosses val="autoZero"/>
        <c:auto val="1"/>
        <c:lblAlgn val="ctr"/>
        <c:lblOffset val="100"/>
        <c:noMultiLvlLbl val="0"/>
      </c:catAx>
      <c:valAx>
        <c:axId val="229030320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97776"/>
        <c:crosses val="max"/>
        <c:crossBetween val="between"/>
      </c:valAx>
      <c:catAx>
        <c:axId val="229897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03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219074</xdr:colOff>
      <xdr:row>47</xdr:row>
      <xdr:rowOff>57150</xdr:rowOff>
    </xdr:from>
    <xdr:to>
      <xdr:col>11</xdr:col>
      <xdr:colOff>533399</xdr:colOff>
      <xdr:row>58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266701</xdr:rowOff>
    </xdr:from>
    <xdr:to>
      <xdr:col>7</xdr:col>
      <xdr:colOff>533400</xdr:colOff>
      <xdr:row>8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F50" sqref="F50"/>
    </sheetView>
  </sheetViews>
  <sheetFormatPr defaultRowHeight="15" x14ac:dyDescent="0.25"/>
  <cols>
    <col min="1" max="1" width="6.28515625" customWidth="1"/>
    <col min="2" max="2" width="10.7109375" customWidth="1"/>
    <col min="3" max="3" width="12.7109375" customWidth="1"/>
    <col min="4" max="4" width="13.28515625" customWidth="1"/>
    <col min="5" max="5" width="11" customWidth="1"/>
    <col min="11" max="11" width="30" customWidth="1"/>
    <col min="13" max="13" width="10.7109375" bestFit="1" customWidth="1"/>
  </cols>
  <sheetData>
    <row r="1" spans="1:11" ht="20.25" customHeight="1" x14ac:dyDescent="0.25">
      <c r="A1" s="184" t="s">
        <v>123</v>
      </c>
      <c r="B1" s="182" t="s">
        <v>103</v>
      </c>
      <c r="C1" s="182" t="s">
        <v>104</v>
      </c>
      <c r="D1" s="182"/>
      <c r="E1" s="182" t="s">
        <v>105</v>
      </c>
      <c r="F1" s="182"/>
      <c r="G1" s="182"/>
      <c r="H1" s="182" t="s">
        <v>106</v>
      </c>
      <c r="I1" s="183" t="s">
        <v>104</v>
      </c>
      <c r="J1" s="183"/>
      <c r="K1" s="182" t="s">
        <v>119</v>
      </c>
    </row>
    <row r="2" spans="1:11" ht="19.5" customHeight="1" x14ac:dyDescent="0.25">
      <c r="A2" s="184"/>
      <c r="B2" s="182"/>
      <c r="C2" s="2" t="s">
        <v>107</v>
      </c>
      <c r="D2" s="2" t="s">
        <v>108</v>
      </c>
      <c r="E2" s="2" t="s">
        <v>109</v>
      </c>
      <c r="F2" s="2" t="s">
        <v>110</v>
      </c>
      <c r="G2" s="2" t="s">
        <v>111</v>
      </c>
      <c r="H2" s="182"/>
      <c r="I2" s="178" t="s">
        <v>107</v>
      </c>
      <c r="J2" s="178" t="s">
        <v>108</v>
      </c>
      <c r="K2" s="182"/>
    </row>
    <row r="3" spans="1:11" x14ac:dyDescent="0.25">
      <c r="A3" s="13">
        <v>1</v>
      </c>
      <c r="B3" s="181" t="s">
        <v>32</v>
      </c>
      <c r="C3" s="180">
        <v>21.7</v>
      </c>
      <c r="D3" s="180">
        <v>92.08</v>
      </c>
      <c r="E3" s="181" t="s">
        <v>112</v>
      </c>
      <c r="F3" s="181" t="s">
        <v>113</v>
      </c>
      <c r="G3" s="181" t="s">
        <v>116</v>
      </c>
      <c r="H3" s="5">
        <v>1</v>
      </c>
      <c r="I3" s="17">
        <v>21.7</v>
      </c>
      <c r="J3" s="17">
        <v>92.08</v>
      </c>
      <c r="K3" s="21" t="s">
        <v>120</v>
      </c>
    </row>
    <row r="4" spans="1:11" x14ac:dyDescent="0.25">
      <c r="A4" s="13">
        <v>2</v>
      </c>
      <c r="B4" s="181"/>
      <c r="C4" s="180"/>
      <c r="D4" s="180"/>
      <c r="E4" s="181"/>
      <c r="F4" s="181"/>
      <c r="G4" s="181"/>
      <c r="H4" s="5">
        <v>2</v>
      </c>
      <c r="I4" s="17">
        <v>21.704509999999999</v>
      </c>
      <c r="J4" s="17">
        <v>92.089759999999998</v>
      </c>
      <c r="K4" s="21" t="s">
        <v>120</v>
      </c>
    </row>
    <row r="5" spans="1:11" x14ac:dyDescent="0.25">
      <c r="A5" s="13">
        <v>3</v>
      </c>
      <c r="B5" s="181"/>
      <c r="C5" s="180"/>
      <c r="D5" s="180"/>
      <c r="E5" s="181"/>
      <c r="F5" s="181"/>
      <c r="G5" s="181"/>
      <c r="H5" s="5">
        <v>3</v>
      </c>
      <c r="I5" s="17">
        <v>21.709009999999999</v>
      </c>
      <c r="J5" s="17">
        <v>92.095029999999994</v>
      </c>
      <c r="K5" s="21" t="s">
        <v>120</v>
      </c>
    </row>
    <row r="6" spans="1:11" x14ac:dyDescent="0.25">
      <c r="A6" s="13">
        <v>4</v>
      </c>
      <c r="B6" s="181"/>
      <c r="C6" s="180"/>
      <c r="D6" s="180"/>
      <c r="E6" s="181"/>
      <c r="F6" s="181"/>
      <c r="G6" s="181"/>
      <c r="H6" s="5">
        <v>4</v>
      </c>
      <c r="I6" s="17">
        <v>21.704799999999999</v>
      </c>
      <c r="J6" s="17">
        <v>92.080799999999996</v>
      </c>
      <c r="K6" s="21" t="s">
        <v>120</v>
      </c>
    </row>
    <row r="7" spans="1:11" ht="15" customHeight="1" x14ac:dyDescent="0.25">
      <c r="A7" s="13">
        <v>5</v>
      </c>
      <c r="B7" s="179" t="s">
        <v>52</v>
      </c>
      <c r="C7" s="180">
        <v>21.5</v>
      </c>
      <c r="D7" s="180">
        <v>92.13</v>
      </c>
      <c r="E7" s="181" t="s">
        <v>112</v>
      </c>
      <c r="F7" s="181" t="s">
        <v>113</v>
      </c>
      <c r="G7" s="181" t="s">
        <v>114</v>
      </c>
      <c r="H7" s="5">
        <v>1</v>
      </c>
      <c r="I7" s="17">
        <v>21.5</v>
      </c>
      <c r="J7" s="17">
        <v>92.13</v>
      </c>
      <c r="K7" s="21" t="s">
        <v>115</v>
      </c>
    </row>
    <row r="8" spans="1:11" x14ac:dyDescent="0.25">
      <c r="A8" s="13">
        <v>6</v>
      </c>
      <c r="B8" s="179"/>
      <c r="C8" s="180"/>
      <c r="D8" s="180"/>
      <c r="E8" s="181"/>
      <c r="F8" s="181"/>
      <c r="G8" s="181"/>
      <c r="H8" s="5">
        <v>2</v>
      </c>
      <c r="I8" s="17">
        <v>21.504999999999999</v>
      </c>
      <c r="J8" s="17">
        <v>92.13</v>
      </c>
      <c r="K8" s="21" t="s">
        <v>120</v>
      </c>
    </row>
    <row r="9" spans="1:11" ht="15" customHeight="1" x14ac:dyDescent="0.25">
      <c r="A9" s="13">
        <v>7</v>
      </c>
      <c r="B9" s="179"/>
      <c r="C9" s="180"/>
      <c r="D9" s="180"/>
      <c r="E9" s="181"/>
      <c r="F9" s="181"/>
      <c r="G9" s="181"/>
      <c r="H9" s="5">
        <v>3</v>
      </c>
      <c r="I9" s="17">
        <v>21.504999999999999</v>
      </c>
      <c r="J9" s="17">
        <v>92.135000000000005</v>
      </c>
      <c r="K9" s="21" t="s">
        <v>120</v>
      </c>
    </row>
    <row r="10" spans="1:11" x14ac:dyDescent="0.25">
      <c r="A10" s="13">
        <v>8</v>
      </c>
      <c r="B10" s="179"/>
      <c r="C10" s="180"/>
      <c r="D10" s="180"/>
      <c r="E10" s="181"/>
      <c r="F10" s="181"/>
      <c r="G10" s="181"/>
      <c r="H10" s="5">
        <v>4</v>
      </c>
      <c r="I10" s="17">
        <v>21.5</v>
      </c>
      <c r="J10" s="17">
        <v>92.135000000000005</v>
      </c>
      <c r="K10" s="21" t="s">
        <v>120</v>
      </c>
    </row>
    <row r="11" spans="1:11" x14ac:dyDescent="0.25">
      <c r="A11" s="13">
        <v>9</v>
      </c>
      <c r="B11" s="181" t="s">
        <v>33</v>
      </c>
      <c r="C11" s="180">
        <v>21.804452999999999</v>
      </c>
      <c r="D11" s="180">
        <v>92.088233000000002</v>
      </c>
      <c r="E11" s="181" t="s">
        <v>112</v>
      </c>
      <c r="F11" s="181" t="s">
        <v>113</v>
      </c>
      <c r="G11" s="181" t="s">
        <v>116</v>
      </c>
      <c r="H11" s="5">
        <v>1</v>
      </c>
      <c r="I11" s="17">
        <v>21.802226699999999</v>
      </c>
      <c r="J11" s="17">
        <v>92.085783000000006</v>
      </c>
      <c r="K11" s="21" t="s">
        <v>115</v>
      </c>
    </row>
    <row r="12" spans="1:11" x14ac:dyDescent="0.25">
      <c r="A12" s="13">
        <v>10</v>
      </c>
      <c r="B12" s="181"/>
      <c r="C12" s="180"/>
      <c r="D12" s="180"/>
      <c r="E12" s="181"/>
      <c r="F12" s="181"/>
      <c r="G12" s="181"/>
      <c r="H12" s="5">
        <v>2</v>
      </c>
      <c r="I12" s="17">
        <v>21.80442</v>
      </c>
      <c r="J12" s="17">
        <v>92.089010000000002</v>
      </c>
      <c r="K12" s="21" t="s">
        <v>115</v>
      </c>
    </row>
    <row r="13" spans="1:11" x14ac:dyDescent="0.25">
      <c r="A13" s="13">
        <v>11</v>
      </c>
      <c r="B13" s="181"/>
      <c r="C13" s="180"/>
      <c r="D13" s="180"/>
      <c r="E13" s="181"/>
      <c r="F13" s="181"/>
      <c r="G13" s="181"/>
      <c r="H13" s="5">
        <v>3</v>
      </c>
      <c r="I13" s="17">
        <v>21.806679899999999</v>
      </c>
      <c r="J13" s="17">
        <v>92.090682700000002</v>
      </c>
      <c r="K13" s="21" t="s">
        <v>120</v>
      </c>
    </row>
    <row r="14" spans="1:11" x14ac:dyDescent="0.25">
      <c r="A14" s="13">
        <v>12</v>
      </c>
      <c r="B14" s="181"/>
      <c r="C14" s="180"/>
      <c r="D14" s="180"/>
      <c r="E14" s="181"/>
      <c r="F14" s="181"/>
      <c r="G14" s="181"/>
      <c r="H14" s="5">
        <v>4</v>
      </c>
      <c r="I14" s="17">
        <v>21.802165599999999</v>
      </c>
      <c r="J14" s="17">
        <v>92.090617100000003</v>
      </c>
      <c r="K14" s="21" t="s">
        <v>120</v>
      </c>
    </row>
    <row r="15" spans="1:11" x14ac:dyDescent="0.25">
      <c r="A15" s="13">
        <v>13</v>
      </c>
      <c r="B15" s="181" t="s">
        <v>66</v>
      </c>
      <c r="C15" s="180">
        <v>21.6022268</v>
      </c>
      <c r="D15" s="180">
        <v>92.127996600000003</v>
      </c>
      <c r="E15" s="181" t="s">
        <v>112</v>
      </c>
      <c r="F15" s="181" t="s">
        <v>113</v>
      </c>
      <c r="G15" s="181" t="s">
        <v>116</v>
      </c>
      <c r="H15" s="5">
        <v>1</v>
      </c>
      <c r="I15" s="17">
        <v>21.6022268</v>
      </c>
      <c r="J15" s="17">
        <v>92.127996600000003</v>
      </c>
      <c r="K15" s="21" t="s">
        <v>120</v>
      </c>
    </row>
    <row r="16" spans="1:11" x14ac:dyDescent="0.25">
      <c r="A16" s="13">
        <v>14</v>
      </c>
      <c r="B16" s="181"/>
      <c r="C16" s="180"/>
      <c r="D16" s="180"/>
      <c r="E16" s="181"/>
      <c r="F16" s="181"/>
      <c r="G16" s="181"/>
      <c r="H16" s="5">
        <v>2</v>
      </c>
      <c r="I16" s="17">
        <v>21.6067</v>
      </c>
      <c r="J16" s="17">
        <v>92.127510000000001</v>
      </c>
      <c r="K16" s="21" t="s">
        <v>120</v>
      </c>
    </row>
    <row r="17" spans="1:11" x14ac:dyDescent="0.25">
      <c r="A17" s="13">
        <v>15</v>
      </c>
      <c r="B17" s="181"/>
      <c r="C17" s="180"/>
      <c r="D17" s="180"/>
      <c r="E17" s="181"/>
      <c r="F17" s="181"/>
      <c r="G17" s="181"/>
      <c r="H17" s="5">
        <v>3</v>
      </c>
      <c r="I17" s="17">
        <v>21.606670000000001</v>
      </c>
      <c r="J17" s="17">
        <v>92.132339999999999</v>
      </c>
      <c r="K17" s="21" t="s">
        <v>121</v>
      </c>
    </row>
    <row r="18" spans="1:11" x14ac:dyDescent="0.25">
      <c r="A18" s="13">
        <v>16</v>
      </c>
      <c r="B18" s="181"/>
      <c r="C18" s="180"/>
      <c r="D18" s="180"/>
      <c r="E18" s="181"/>
      <c r="F18" s="181"/>
      <c r="G18" s="181"/>
      <c r="H18" s="5">
        <v>4</v>
      </c>
      <c r="I18" s="17">
        <v>21.602160000000001</v>
      </c>
      <c r="J18" s="17">
        <v>92.132270000000005</v>
      </c>
      <c r="K18" s="21" t="s">
        <v>120</v>
      </c>
    </row>
    <row r="19" spans="1:11" x14ac:dyDescent="0.25">
      <c r="A19" s="13">
        <v>17</v>
      </c>
      <c r="B19" s="181" t="s">
        <v>96</v>
      </c>
      <c r="C19" s="180">
        <v>21.55</v>
      </c>
      <c r="D19" s="180">
        <v>92.13</v>
      </c>
      <c r="E19" s="181" t="s">
        <v>112</v>
      </c>
      <c r="F19" s="181" t="s">
        <v>113</v>
      </c>
      <c r="G19" s="181" t="s">
        <v>113</v>
      </c>
      <c r="H19" s="5">
        <v>1</v>
      </c>
      <c r="I19" s="17">
        <v>21.55</v>
      </c>
      <c r="J19" s="17">
        <v>92.13</v>
      </c>
      <c r="K19" s="21" t="s">
        <v>120</v>
      </c>
    </row>
    <row r="20" spans="1:11" x14ac:dyDescent="0.25">
      <c r="A20" s="13">
        <v>18</v>
      </c>
      <c r="B20" s="181"/>
      <c r="C20" s="180"/>
      <c r="D20" s="180"/>
      <c r="E20" s="181"/>
      <c r="F20" s="181"/>
      <c r="G20" s="181"/>
      <c r="H20" s="5">
        <v>2</v>
      </c>
      <c r="I20" s="17">
        <v>21.555</v>
      </c>
      <c r="J20" s="17">
        <v>92.13</v>
      </c>
      <c r="K20" s="21" t="s">
        <v>120</v>
      </c>
    </row>
    <row r="21" spans="1:11" x14ac:dyDescent="0.25">
      <c r="A21" s="13">
        <v>19</v>
      </c>
      <c r="B21" s="181"/>
      <c r="C21" s="180"/>
      <c r="D21" s="180"/>
      <c r="E21" s="181"/>
      <c r="F21" s="181"/>
      <c r="G21" s="181"/>
      <c r="H21" s="5">
        <v>3</v>
      </c>
      <c r="I21" s="17">
        <v>21.55</v>
      </c>
      <c r="J21" s="17">
        <v>92.135000000000005</v>
      </c>
      <c r="K21" s="21" t="s">
        <v>120</v>
      </c>
    </row>
    <row r="22" spans="1:11" x14ac:dyDescent="0.25">
      <c r="A22" s="13">
        <v>20</v>
      </c>
      <c r="B22" s="181"/>
      <c r="C22" s="180"/>
      <c r="D22" s="180"/>
      <c r="E22" s="181"/>
      <c r="F22" s="181"/>
      <c r="G22" s="181"/>
      <c r="H22" s="5">
        <v>4</v>
      </c>
      <c r="I22" s="17">
        <v>21.55</v>
      </c>
      <c r="J22" s="17">
        <v>92.135000000000005</v>
      </c>
      <c r="K22" s="21" t="s">
        <v>115</v>
      </c>
    </row>
    <row r="23" spans="1:11" ht="15" customHeight="1" x14ac:dyDescent="0.25">
      <c r="A23" s="13">
        <v>21</v>
      </c>
      <c r="B23" s="181" t="s">
        <v>76</v>
      </c>
      <c r="C23" s="180">
        <v>21.502203000000002</v>
      </c>
      <c r="D23" s="180">
        <v>92.169100999999998</v>
      </c>
      <c r="E23" s="181" t="s">
        <v>112</v>
      </c>
      <c r="F23" s="181" t="s">
        <v>113</v>
      </c>
      <c r="G23" s="181" t="s">
        <v>114</v>
      </c>
      <c r="H23" s="5">
        <v>1</v>
      </c>
      <c r="I23" s="17">
        <v>21.502203000000002</v>
      </c>
      <c r="J23" s="17">
        <v>92.169100999999998</v>
      </c>
      <c r="K23" s="21" t="s">
        <v>115</v>
      </c>
    </row>
    <row r="24" spans="1:11" x14ac:dyDescent="0.25">
      <c r="A24" s="13">
        <v>22</v>
      </c>
      <c r="B24" s="181"/>
      <c r="C24" s="180"/>
      <c r="D24" s="180"/>
      <c r="E24" s="181"/>
      <c r="F24" s="181"/>
      <c r="G24" s="181"/>
      <c r="H24" s="5">
        <v>2</v>
      </c>
      <c r="I24" s="17">
        <v>21.506701</v>
      </c>
      <c r="J24" s="17">
        <v>92.169202999999996</v>
      </c>
      <c r="K24" s="21" t="s">
        <v>115</v>
      </c>
    </row>
    <row r="25" spans="1:11" x14ac:dyDescent="0.25">
      <c r="A25" s="13">
        <v>23</v>
      </c>
      <c r="B25" s="181"/>
      <c r="C25" s="180"/>
      <c r="D25" s="180"/>
      <c r="E25" s="181"/>
      <c r="F25" s="181"/>
      <c r="G25" s="181"/>
      <c r="H25" s="5">
        <v>3</v>
      </c>
      <c r="I25" s="17">
        <v>21.506699999999999</v>
      </c>
      <c r="J25" s="17">
        <v>92.174000000000007</v>
      </c>
      <c r="K25" s="21" t="s">
        <v>120</v>
      </c>
    </row>
    <row r="26" spans="1:11" x14ac:dyDescent="0.25">
      <c r="A26" s="13">
        <v>24</v>
      </c>
      <c r="B26" s="181"/>
      <c r="C26" s="180"/>
      <c r="D26" s="180"/>
      <c r="E26" s="181"/>
      <c r="F26" s="181"/>
      <c r="G26" s="181"/>
      <c r="H26" s="5">
        <v>4</v>
      </c>
      <c r="I26" s="17">
        <v>21.502199999999998</v>
      </c>
      <c r="J26" s="17">
        <v>92.173900000000003</v>
      </c>
      <c r="K26" s="21" t="s">
        <v>115</v>
      </c>
    </row>
    <row r="27" spans="1:11" ht="15" customHeight="1" x14ac:dyDescent="0.25">
      <c r="A27" s="13">
        <v>25</v>
      </c>
      <c r="B27" s="181" t="s">
        <v>117</v>
      </c>
      <c r="C27" s="180">
        <v>21.402200000000001</v>
      </c>
      <c r="D27" s="180">
        <v>92.127399999999994</v>
      </c>
      <c r="E27" s="181" t="s">
        <v>112</v>
      </c>
      <c r="F27" s="181" t="s">
        <v>113</v>
      </c>
      <c r="G27" s="181" t="s">
        <v>114</v>
      </c>
      <c r="H27" s="5">
        <v>1</v>
      </c>
      <c r="I27" s="17">
        <v>21.402200000000001</v>
      </c>
      <c r="J27" s="17">
        <v>92.127399999999994</v>
      </c>
      <c r="K27" s="21" t="s">
        <v>115</v>
      </c>
    </row>
    <row r="28" spans="1:11" x14ac:dyDescent="0.25">
      <c r="A28" s="13">
        <v>26</v>
      </c>
      <c r="B28" s="181"/>
      <c r="C28" s="180"/>
      <c r="D28" s="180"/>
      <c r="E28" s="181"/>
      <c r="F28" s="181"/>
      <c r="G28" s="181"/>
      <c r="H28" s="5">
        <v>2</v>
      </c>
      <c r="I28" s="17">
        <v>21.406700000000001</v>
      </c>
      <c r="J28" s="17">
        <v>92.127499999999998</v>
      </c>
      <c r="K28" s="21" t="s">
        <v>115</v>
      </c>
    </row>
    <row r="29" spans="1:11" x14ac:dyDescent="0.25">
      <c r="A29" s="13">
        <v>27</v>
      </c>
      <c r="B29" s="181"/>
      <c r="C29" s="180"/>
      <c r="D29" s="180"/>
      <c r="E29" s="181"/>
      <c r="F29" s="181"/>
      <c r="G29" s="181"/>
      <c r="H29" s="5">
        <v>3</v>
      </c>
      <c r="I29" s="17">
        <v>21.406700000000001</v>
      </c>
      <c r="J29" s="17">
        <v>92.132300000000001</v>
      </c>
      <c r="K29" s="21" t="s">
        <v>122</v>
      </c>
    </row>
    <row r="30" spans="1:11" x14ac:dyDescent="0.25">
      <c r="A30" s="13">
        <v>28</v>
      </c>
      <c r="B30" s="181"/>
      <c r="C30" s="180"/>
      <c r="D30" s="180"/>
      <c r="E30" s="181"/>
      <c r="F30" s="181"/>
      <c r="G30" s="181"/>
      <c r="H30" s="5">
        <v>4</v>
      </c>
      <c r="I30" s="17">
        <v>21.402200000000001</v>
      </c>
      <c r="J30" s="17">
        <v>92.132199999999997</v>
      </c>
      <c r="K30" s="21" t="s">
        <v>122</v>
      </c>
    </row>
    <row r="31" spans="1:11" x14ac:dyDescent="0.25">
      <c r="A31" s="13">
        <v>29</v>
      </c>
      <c r="B31" s="181" t="s">
        <v>91</v>
      </c>
      <c r="C31" s="180">
        <v>21.55</v>
      </c>
      <c r="D31" s="180">
        <v>92.09</v>
      </c>
      <c r="E31" s="181" t="s">
        <v>112</v>
      </c>
      <c r="F31" s="181" t="s">
        <v>113</v>
      </c>
      <c r="G31" s="181" t="s">
        <v>113</v>
      </c>
      <c r="H31" s="5">
        <v>1</v>
      </c>
      <c r="I31" s="17">
        <v>21.55</v>
      </c>
      <c r="J31" s="17">
        <v>92.09</v>
      </c>
      <c r="K31" s="21" t="s">
        <v>120</v>
      </c>
    </row>
    <row r="32" spans="1:11" x14ac:dyDescent="0.25">
      <c r="A32" s="13">
        <v>30</v>
      </c>
      <c r="B32" s="181"/>
      <c r="C32" s="180"/>
      <c r="D32" s="180"/>
      <c r="E32" s="181"/>
      <c r="F32" s="181"/>
      <c r="G32" s="181"/>
      <c r="H32" s="5">
        <v>2</v>
      </c>
      <c r="I32" s="17">
        <v>21.555</v>
      </c>
      <c r="J32" s="17">
        <v>92.09</v>
      </c>
      <c r="K32" s="21" t="s">
        <v>115</v>
      </c>
    </row>
    <row r="33" spans="1:11" x14ac:dyDescent="0.25">
      <c r="A33" s="13">
        <v>31</v>
      </c>
      <c r="B33" s="181"/>
      <c r="C33" s="180"/>
      <c r="D33" s="180"/>
      <c r="E33" s="181"/>
      <c r="F33" s="181"/>
      <c r="G33" s="181"/>
      <c r="H33" s="5">
        <v>3</v>
      </c>
      <c r="I33" s="17">
        <v>21.555</v>
      </c>
      <c r="J33" s="17">
        <v>92.094999999999999</v>
      </c>
      <c r="K33" s="21" t="s">
        <v>120</v>
      </c>
    </row>
    <row r="34" spans="1:11" x14ac:dyDescent="0.25">
      <c r="A34" s="13">
        <v>32</v>
      </c>
      <c r="B34" s="181"/>
      <c r="C34" s="180"/>
      <c r="D34" s="180"/>
      <c r="E34" s="181"/>
      <c r="F34" s="181"/>
      <c r="G34" s="181"/>
      <c r="H34" s="5">
        <v>4</v>
      </c>
      <c r="I34" s="17">
        <v>21.55</v>
      </c>
      <c r="J34" s="17">
        <v>92.094999999999999</v>
      </c>
      <c r="K34" s="21" t="s">
        <v>120</v>
      </c>
    </row>
    <row r="35" spans="1:11" x14ac:dyDescent="0.25">
      <c r="A35" s="13">
        <v>33</v>
      </c>
      <c r="B35" s="181" t="s">
        <v>86</v>
      </c>
      <c r="C35" s="180">
        <v>21.452200000000001</v>
      </c>
      <c r="D35" s="180">
        <v>92.1691</v>
      </c>
      <c r="E35" s="181" t="s">
        <v>112</v>
      </c>
      <c r="F35" s="181" t="s">
        <v>113</v>
      </c>
      <c r="G35" s="181" t="s">
        <v>114</v>
      </c>
      <c r="H35" s="5">
        <v>1</v>
      </c>
      <c r="I35" s="17">
        <v>21.452200000000001</v>
      </c>
      <c r="J35" s="17">
        <v>92.1691</v>
      </c>
      <c r="K35" s="21" t="s">
        <v>115</v>
      </c>
    </row>
    <row r="36" spans="1:11" x14ac:dyDescent="0.25">
      <c r="A36" s="13">
        <v>34</v>
      </c>
      <c r="B36" s="181"/>
      <c r="C36" s="180"/>
      <c r="D36" s="180"/>
      <c r="E36" s="181"/>
      <c r="F36" s="181"/>
      <c r="G36" s="181"/>
      <c r="H36" s="5">
        <v>2</v>
      </c>
      <c r="I36" s="17">
        <v>21.456700000000001</v>
      </c>
      <c r="J36" s="17">
        <v>92.169200000000004</v>
      </c>
      <c r="K36" s="21" t="s">
        <v>120</v>
      </c>
    </row>
    <row r="37" spans="1:11" x14ac:dyDescent="0.25">
      <c r="A37" s="13">
        <v>35</v>
      </c>
      <c r="B37" s="181"/>
      <c r="C37" s="180"/>
      <c r="D37" s="180"/>
      <c r="E37" s="181"/>
      <c r="F37" s="181"/>
      <c r="G37" s="181"/>
      <c r="H37" s="5">
        <v>3</v>
      </c>
      <c r="I37" s="17">
        <v>21.456700000000001</v>
      </c>
      <c r="J37" s="17">
        <v>92.174000000000007</v>
      </c>
      <c r="K37" s="21" t="s">
        <v>115</v>
      </c>
    </row>
    <row r="38" spans="1:11" x14ac:dyDescent="0.25">
      <c r="A38" s="13">
        <v>36</v>
      </c>
      <c r="B38" s="181"/>
      <c r="C38" s="180"/>
      <c r="D38" s="180"/>
      <c r="E38" s="181"/>
      <c r="F38" s="181"/>
      <c r="G38" s="181"/>
      <c r="H38" s="5">
        <v>4</v>
      </c>
      <c r="I38" s="17">
        <v>21.452200000000001</v>
      </c>
      <c r="J38" s="17">
        <v>92.173900000000003</v>
      </c>
      <c r="K38" s="21" t="s">
        <v>115</v>
      </c>
    </row>
    <row r="39" spans="1:11" ht="15" customHeight="1" x14ac:dyDescent="0.25">
      <c r="A39" s="13">
        <v>37</v>
      </c>
      <c r="B39" s="181" t="s">
        <v>88</v>
      </c>
      <c r="C39" s="180">
        <v>21.5</v>
      </c>
      <c r="D39" s="180">
        <v>92.09</v>
      </c>
      <c r="E39" s="181" t="s">
        <v>112</v>
      </c>
      <c r="F39" s="181" t="s">
        <v>113</v>
      </c>
      <c r="G39" s="181" t="s">
        <v>114</v>
      </c>
      <c r="H39" s="5">
        <v>1</v>
      </c>
      <c r="I39" s="17">
        <v>21.5</v>
      </c>
      <c r="J39" s="17">
        <v>92.09</v>
      </c>
      <c r="K39" s="21" t="s">
        <v>120</v>
      </c>
    </row>
    <row r="40" spans="1:11" x14ac:dyDescent="0.25">
      <c r="A40" s="13">
        <v>38</v>
      </c>
      <c r="B40" s="181"/>
      <c r="C40" s="180"/>
      <c r="D40" s="180"/>
      <c r="E40" s="181"/>
      <c r="F40" s="181"/>
      <c r="G40" s="181"/>
      <c r="H40" s="5">
        <v>2</v>
      </c>
      <c r="I40" s="17">
        <v>21.504999999999999</v>
      </c>
      <c r="J40" s="17">
        <v>92.09</v>
      </c>
      <c r="K40" s="21" t="s">
        <v>120</v>
      </c>
    </row>
    <row r="41" spans="1:11" x14ac:dyDescent="0.25">
      <c r="A41" s="13">
        <v>39</v>
      </c>
      <c r="B41" s="181"/>
      <c r="C41" s="180"/>
      <c r="D41" s="180"/>
      <c r="E41" s="181"/>
      <c r="F41" s="181"/>
      <c r="G41" s="181"/>
      <c r="H41" s="5">
        <v>3</v>
      </c>
      <c r="I41" s="17">
        <v>21.504999999999999</v>
      </c>
      <c r="J41" s="17">
        <v>92.094999999999999</v>
      </c>
      <c r="K41" s="21" t="s">
        <v>115</v>
      </c>
    </row>
    <row r="42" spans="1:11" x14ac:dyDescent="0.25">
      <c r="A42" s="13">
        <v>40</v>
      </c>
      <c r="B42" s="181"/>
      <c r="C42" s="180"/>
      <c r="D42" s="180"/>
      <c r="E42" s="181"/>
      <c r="F42" s="181"/>
      <c r="G42" s="181"/>
      <c r="H42" s="5">
        <v>4</v>
      </c>
      <c r="I42" s="17">
        <v>21.5</v>
      </c>
      <c r="J42" s="17">
        <v>92.094999999999999</v>
      </c>
      <c r="K42" s="21" t="s">
        <v>115</v>
      </c>
    </row>
    <row r="43" spans="1:11" x14ac:dyDescent="0.25">
      <c r="A43" s="13">
        <v>41</v>
      </c>
      <c r="B43" s="181" t="s">
        <v>118</v>
      </c>
      <c r="C43" s="180">
        <v>21.552201</v>
      </c>
      <c r="D43" s="180">
        <v>92.1691</v>
      </c>
      <c r="E43" s="181" t="s">
        <v>112</v>
      </c>
      <c r="F43" s="181" t="s">
        <v>113</v>
      </c>
      <c r="G43" s="181" t="s">
        <v>114</v>
      </c>
      <c r="H43" s="5">
        <v>1</v>
      </c>
      <c r="I43" s="17">
        <v>21.552201</v>
      </c>
      <c r="J43" s="17">
        <v>92.1691</v>
      </c>
      <c r="K43" s="21" t="s">
        <v>115</v>
      </c>
    </row>
    <row r="44" spans="1:11" x14ac:dyDescent="0.25">
      <c r="A44" s="13">
        <v>42</v>
      </c>
      <c r="B44" s="181"/>
      <c r="C44" s="180"/>
      <c r="D44" s="180"/>
      <c r="E44" s="181"/>
      <c r="F44" s="181"/>
      <c r="G44" s="181"/>
      <c r="H44" s="5">
        <v>2</v>
      </c>
      <c r="I44" s="17">
        <v>21.556699999999999</v>
      </c>
      <c r="J44" s="17">
        <v>92.169200000000004</v>
      </c>
      <c r="K44" s="21" t="s">
        <v>115</v>
      </c>
    </row>
    <row r="45" spans="1:11" x14ac:dyDescent="0.25">
      <c r="A45" s="13">
        <v>43</v>
      </c>
      <c r="B45" s="181"/>
      <c r="C45" s="180"/>
      <c r="D45" s="180"/>
      <c r="E45" s="181"/>
      <c r="F45" s="181"/>
      <c r="G45" s="181"/>
      <c r="H45" s="5">
        <v>3</v>
      </c>
      <c r="I45" s="17">
        <v>21.556706999999999</v>
      </c>
      <c r="J45" s="17">
        <v>92.174034000000006</v>
      </c>
      <c r="K45" s="21" t="s">
        <v>121</v>
      </c>
    </row>
    <row r="46" spans="1:11" x14ac:dyDescent="0.25">
      <c r="A46" s="13">
        <v>44</v>
      </c>
      <c r="B46" s="181"/>
      <c r="C46" s="180"/>
      <c r="D46" s="180"/>
      <c r="E46" s="181"/>
      <c r="F46" s="181"/>
      <c r="G46" s="181"/>
      <c r="H46" s="5">
        <v>4</v>
      </c>
      <c r="I46" s="17">
        <v>21.552208</v>
      </c>
      <c r="J46" s="17">
        <v>92.173907999999997</v>
      </c>
      <c r="K46" s="21" t="s">
        <v>121</v>
      </c>
    </row>
    <row r="47" spans="1:11" ht="15.75" thickBot="1" x14ac:dyDescent="0.3"/>
    <row r="48" spans="1:11" x14ac:dyDescent="0.25">
      <c r="A48" s="188" t="s">
        <v>126</v>
      </c>
      <c r="B48" s="189"/>
      <c r="C48" s="190"/>
    </row>
    <row r="49" spans="1:6" ht="22.5" customHeight="1" x14ac:dyDescent="0.25">
      <c r="A49" s="185" t="s">
        <v>120</v>
      </c>
      <c r="B49" s="181"/>
      <c r="C49" s="7">
        <v>22</v>
      </c>
    </row>
    <row r="50" spans="1:6" ht="19.5" customHeight="1" x14ac:dyDescent="0.25">
      <c r="A50" s="185" t="s">
        <v>124</v>
      </c>
      <c r="B50" s="181"/>
      <c r="C50" s="7">
        <v>17</v>
      </c>
    </row>
    <row r="51" spans="1:6" ht="18.75" customHeight="1" x14ac:dyDescent="0.25">
      <c r="A51" s="186" t="s">
        <v>122</v>
      </c>
      <c r="B51" s="187"/>
      <c r="C51" s="7">
        <v>2</v>
      </c>
    </row>
    <row r="52" spans="1:6" ht="19.5" customHeight="1" x14ac:dyDescent="0.25">
      <c r="A52" s="186" t="s">
        <v>125</v>
      </c>
      <c r="B52" s="187"/>
      <c r="C52" s="7">
        <v>3</v>
      </c>
    </row>
    <row r="53" spans="1:6" ht="15.75" thickBot="1" x14ac:dyDescent="0.3">
      <c r="A53" s="196" t="s">
        <v>127</v>
      </c>
      <c r="B53" s="197"/>
      <c r="C53" s="28">
        <f>SUM(C49:C52)</f>
        <v>44</v>
      </c>
    </row>
    <row r="54" spans="1:6" ht="15.75" thickBot="1" x14ac:dyDescent="0.3">
      <c r="A54" s="26"/>
      <c r="B54" s="25"/>
    </row>
    <row r="55" spans="1:6" x14ac:dyDescent="0.25">
      <c r="A55" s="193" t="s">
        <v>140</v>
      </c>
      <c r="B55" s="194"/>
      <c r="C55" s="194"/>
      <c r="D55" s="194"/>
      <c r="E55" s="194"/>
      <c r="F55" s="195"/>
    </row>
    <row r="56" spans="1:6" ht="30" x14ac:dyDescent="0.25">
      <c r="A56" s="30" t="s">
        <v>123</v>
      </c>
      <c r="B56" s="29"/>
      <c r="C56" s="192" t="s">
        <v>134</v>
      </c>
      <c r="D56" s="192"/>
      <c r="E56" s="8" t="s">
        <v>138</v>
      </c>
      <c r="F56" s="3" t="s">
        <v>139</v>
      </c>
    </row>
    <row r="57" spans="1:6" x14ac:dyDescent="0.25">
      <c r="A57" s="6">
        <v>1</v>
      </c>
      <c r="B57" s="14" t="s">
        <v>24</v>
      </c>
      <c r="C57" s="181" t="s">
        <v>135</v>
      </c>
      <c r="D57" s="181"/>
      <c r="E57" s="14" t="s">
        <v>129</v>
      </c>
      <c r="F57" s="7">
        <f>20*100</f>
        <v>2000</v>
      </c>
    </row>
    <row r="58" spans="1:6" x14ac:dyDescent="0.25">
      <c r="A58" s="6">
        <v>2</v>
      </c>
      <c r="B58" s="14" t="s">
        <v>130</v>
      </c>
      <c r="C58" s="181" t="s">
        <v>136</v>
      </c>
      <c r="D58" s="181"/>
      <c r="E58" s="14" t="s">
        <v>131</v>
      </c>
      <c r="F58" s="7">
        <f>3.1416*10^2</f>
        <v>314.15999999999997</v>
      </c>
    </row>
    <row r="59" spans="1:6" ht="30.75" thickBot="1" x14ac:dyDescent="0.3">
      <c r="A59" s="10">
        <v>3</v>
      </c>
      <c r="B59" s="31" t="s">
        <v>132</v>
      </c>
      <c r="C59" s="191" t="s">
        <v>137</v>
      </c>
      <c r="D59" s="191"/>
      <c r="E59" s="31" t="s">
        <v>133</v>
      </c>
      <c r="F59" s="32">
        <f>3.1416*3.99^2</f>
        <v>50.01458616</v>
      </c>
    </row>
  </sheetData>
  <autoFilter ref="B1:K46">
    <filterColumn colId="1" showButton="0"/>
    <filterColumn colId="3" showButton="0"/>
    <filterColumn colId="4" showButton="0"/>
    <filterColumn colId="7" showButton="0"/>
  </autoFilter>
  <mergeCells count="84">
    <mergeCell ref="F27:F30"/>
    <mergeCell ref="E39:E42"/>
    <mergeCell ref="F39:F42"/>
    <mergeCell ref="G39:G42"/>
    <mergeCell ref="G27:G30"/>
    <mergeCell ref="A53:B53"/>
    <mergeCell ref="B35:B38"/>
    <mergeCell ref="C35:C38"/>
    <mergeCell ref="D35:D38"/>
    <mergeCell ref="E35:E38"/>
    <mergeCell ref="C57:D57"/>
    <mergeCell ref="C58:D58"/>
    <mergeCell ref="C59:D59"/>
    <mergeCell ref="C56:D56"/>
    <mergeCell ref="A55:F55"/>
    <mergeCell ref="A1:A2"/>
    <mergeCell ref="A49:B49"/>
    <mergeCell ref="A50:B50"/>
    <mergeCell ref="A51:B51"/>
    <mergeCell ref="A52:B52"/>
    <mergeCell ref="A48:C48"/>
    <mergeCell ref="B1:B2"/>
    <mergeCell ref="C1:D1"/>
    <mergeCell ref="B39:B42"/>
    <mergeCell ref="C39:C42"/>
    <mergeCell ref="D39:D42"/>
    <mergeCell ref="B23:B26"/>
    <mergeCell ref="C23:C26"/>
    <mergeCell ref="D23:D26"/>
    <mergeCell ref="B15:B18"/>
    <mergeCell ref="C15:C18"/>
    <mergeCell ref="H1:H2"/>
    <mergeCell ref="I1:J1"/>
    <mergeCell ref="E7:E10"/>
    <mergeCell ref="F7:F10"/>
    <mergeCell ref="G7:G10"/>
    <mergeCell ref="G35:G38"/>
    <mergeCell ref="E31:E34"/>
    <mergeCell ref="F31:F34"/>
    <mergeCell ref="G31:G34"/>
    <mergeCell ref="G43:G46"/>
    <mergeCell ref="F35:F38"/>
    <mergeCell ref="G19:G22"/>
    <mergeCell ref="B31:B34"/>
    <mergeCell ref="C31:C34"/>
    <mergeCell ref="D31:D34"/>
    <mergeCell ref="E23:E26"/>
    <mergeCell ref="F23:F26"/>
    <mergeCell ref="G23:G26"/>
    <mergeCell ref="B27:B30"/>
    <mergeCell ref="C27:C30"/>
    <mergeCell ref="D27:D30"/>
    <mergeCell ref="B19:B22"/>
    <mergeCell ref="C19:C22"/>
    <mergeCell ref="D19:D22"/>
    <mergeCell ref="E19:E22"/>
    <mergeCell ref="F19:F22"/>
    <mergeCell ref="E27:E30"/>
    <mergeCell ref="B43:B46"/>
    <mergeCell ref="C43:C46"/>
    <mergeCell ref="D43:D46"/>
    <mergeCell ref="E43:E46"/>
    <mergeCell ref="F43:F46"/>
    <mergeCell ref="F15:F18"/>
    <mergeCell ref="K1:K2"/>
    <mergeCell ref="B11:B14"/>
    <mergeCell ref="C11:C14"/>
    <mergeCell ref="D11:D14"/>
    <mergeCell ref="E11:E14"/>
    <mergeCell ref="F11:F14"/>
    <mergeCell ref="G11:G14"/>
    <mergeCell ref="B3:B6"/>
    <mergeCell ref="C3:C6"/>
    <mergeCell ref="D3:D6"/>
    <mergeCell ref="E3:E6"/>
    <mergeCell ref="F3:F6"/>
    <mergeCell ref="G3:G6"/>
    <mergeCell ref="G15:G18"/>
    <mergeCell ref="E1:G1"/>
    <mergeCell ref="B7:B10"/>
    <mergeCell ref="C7:C10"/>
    <mergeCell ref="D7:D10"/>
    <mergeCell ref="D15:D18"/>
    <mergeCell ref="E15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9" sqref="G9"/>
    </sheetView>
  </sheetViews>
  <sheetFormatPr defaultRowHeight="15" x14ac:dyDescent="0.25"/>
  <cols>
    <col min="1" max="1" width="9.85546875" style="1" bestFit="1" customWidth="1"/>
    <col min="2" max="2" width="9.140625" style="1" bestFit="1" customWidth="1"/>
    <col min="3" max="3" width="13.5703125" style="1" bestFit="1" customWidth="1"/>
    <col min="4" max="5" width="13.7109375" style="1" bestFit="1" customWidth="1"/>
    <col min="6" max="6" width="9.28515625" style="1" bestFit="1" customWidth="1"/>
    <col min="7" max="7" width="10.7109375" style="1" bestFit="1" customWidth="1"/>
    <col min="8" max="8" width="6.7109375" style="1" customWidth="1"/>
    <col min="9" max="9" width="5.5703125" style="1" customWidth="1"/>
    <col min="10" max="10" width="13.42578125" style="1" bestFit="1" customWidth="1"/>
    <col min="11" max="11" width="13.140625" style="1" bestFit="1" customWidth="1"/>
    <col min="12" max="12" width="12.7109375" style="1" bestFit="1" customWidth="1"/>
    <col min="13" max="13" width="12.5703125" style="1" bestFit="1" customWidth="1"/>
    <col min="14" max="16384" width="9.140625" style="1"/>
  </cols>
  <sheetData>
    <row r="1" spans="1:13" ht="15" customHeight="1" x14ac:dyDescent="0.25">
      <c r="A1" s="14"/>
      <c r="B1" s="14"/>
      <c r="C1" s="8"/>
      <c r="D1" s="8"/>
      <c r="E1" s="182" t="s">
        <v>128</v>
      </c>
      <c r="F1" s="182"/>
      <c r="G1" s="182"/>
      <c r="H1" s="182"/>
      <c r="I1" s="182"/>
      <c r="J1" s="182"/>
      <c r="K1" s="182"/>
      <c r="L1" s="182"/>
      <c r="M1" s="182"/>
    </row>
    <row r="2" spans="1:13" ht="45" x14ac:dyDescent="0.25">
      <c r="A2" s="8" t="s">
        <v>23</v>
      </c>
      <c r="B2" s="8" t="s">
        <v>24</v>
      </c>
      <c r="C2" s="8" t="s">
        <v>4</v>
      </c>
      <c r="D2" s="8" t="s">
        <v>5</v>
      </c>
      <c r="E2" s="8" t="s">
        <v>25</v>
      </c>
      <c r="F2" s="8" t="s">
        <v>26</v>
      </c>
      <c r="G2" s="8" t="s">
        <v>27</v>
      </c>
      <c r="H2" s="8" t="s">
        <v>28</v>
      </c>
      <c r="I2" s="8" t="s">
        <v>29</v>
      </c>
      <c r="J2" s="8" t="s">
        <v>30</v>
      </c>
      <c r="K2" s="8" t="s">
        <v>146</v>
      </c>
      <c r="L2" s="8" t="s">
        <v>142</v>
      </c>
      <c r="M2" s="8" t="s">
        <v>31</v>
      </c>
    </row>
    <row r="3" spans="1:13" ht="30" x14ac:dyDescent="0.25">
      <c r="A3" s="182" t="s">
        <v>32</v>
      </c>
      <c r="B3" s="182" t="s">
        <v>6</v>
      </c>
      <c r="C3" s="14" t="s">
        <v>7</v>
      </c>
      <c r="D3" s="14" t="s">
        <v>8</v>
      </c>
      <c r="E3" s="14">
        <v>30</v>
      </c>
      <c r="F3" s="11">
        <f>E3/100</f>
        <v>0.3</v>
      </c>
      <c r="G3" s="12">
        <f>F3*F3*3.1416/4</f>
        <v>7.0685999999999999E-2</v>
      </c>
      <c r="H3" s="11">
        <v>18</v>
      </c>
      <c r="I3" s="33">
        <v>1</v>
      </c>
      <c r="J3" s="33">
        <f>I3*10000/2000</f>
        <v>5</v>
      </c>
      <c r="K3" s="11">
        <f>G3*J3</f>
        <v>0.35343000000000002</v>
      </c>
      <c r="L3" s="11">
        <f>F3*F3*H3*0.5*3.1416/4</f>
        <v>0.63617399999999991</v>
      </c>
      <c r="M3" s="11">
        <f>L3*J3</f>
        <v>3.1808699999999996</v>
      </c>
    </row>
    <row r="4" spans="1:13" ht="30" x14ac:dyDescent="0.25">
      <c r="A4" s="182"/>
      <c r="B4" s="182"/>
      <c r="C4" s="14" t="s">
        <v>7</v>
      </c>
      <c r="D4" s="14" t="s">
        <v>8</v>
      </c>
      <c r="E4" s="14">
        <v>32</v>
      </c>
      <c r="F4" s="11">
        <f>E4/100</f>
        <v>0.32</v>
      </c>
      <c r="G4" s="12">
        <f t="shared" ref="G4:G33" si="0">F4*F4*3.1416/4</f>
        <v>8.0424960000000004E-2</v>
      </c>
      <c r="H4" s="11">
        <v>20</v>
      </c>
      <c r="I4" s="33">
        <v>1</v>
      </c>
      <c r="J4" s="33">
        <f t="shared" ref="J4:J33" si="1">I4*10000/2000</f>
        <v>5</v>
      </c>
      <c r="K4" s="11">
        <f t="shared" ref="K4:K58" si="2">G4*J4</f>
        <v>0.4021248</v>
      </c>
      <c r="L4" s="11">
        <f>F4*F4*H4*0.5*3.1416/4</f>
        <v>0.80424960000000001</v>
      </c>
      <c r="M4" s="11">
        <f t="shared" ref="M4:M33" si="3">L4*J4</f>
        <v>4.0212479999999999</v>
      </c>
    </row>
    <row r="5" spans="1:13" ht="30" x14ac:dyDescent="0.25">
      <c r="A5" s="182"/>
      <c r="B5" s="182"/>
      <c r="C5" s="14" t="s">
        <v>7</v>
      </c>
      <c r="D5" s="14" t="s">
        <v>8</v>
      </c>
      <c r="E5" s="14">
        <v>30</v>
      </c>
      <c r="F5" s="11">
        <f>E5/100</f>
        <v>0.3</v>
      </c>
      <c r="G5" s="12">
        <f t="shared" si="0"/>
        <v>7.0685999999999999E-2</v>
      </c>
      <c r="H5" s="11">
        <v>19</v>
      </c>
      <c r="I5" s="33">
        <v>1</v>
      </c>
      <c r="J5" s="33">
        <f t="shared" si="1"/>
        <v>5</v>
      </c>
      <c r="K5" s="11">
        <f t="shared" si="2"/>
        <v>0.35343000000000002</v>
      </c>
      <c r="L5" s="11">
        <f>F5*F5*H5*0.5*3.1416/4</f>
        <v>0.67151699999999992</v>
      </c>
      <c r="M5" s="11">
        <f t="shared" si="3"/>
        <v>3.3575849999999994</v>
      </c>
    </row>
    <row r="6" spans="1:13" ht="30" x14ac:dyDescent="0.25">
      <c r="A6" s="182"/>
      <c r="B6" s="8" t="s">
        <v>11</v>
      </c>
      <c r="C6" s="14" t="s">
        <v>7</v>
      </c>
      <c r="D6" s="14" t="s">
        <v>8</v>
      </c>
      <c r="E6" s="14">
        <v>33</v>
      </c>
      <c r="F6" s="11">
        <f t="shared" ref="F6:F33" si="4">E6/100</f>
        <v>0.33</v>
      </c>
      <c r="G6" s="12">
        <f t="shared" si="0"/>
        <v>8.5530060000000005E-2</v>
      </c>
      <c r="H6" s="11">
        <v>20</v>
      </c>
      <c r="I6" s="33">
        <v>1</v>
      </c>
      <c r="J6" s="33">
        <f t="shared" si="1"/>
        <v>5</v>
      </c>
      <c r="K6" s="11">
        <f t="shared" si="2"/>
        <v>0.42765030000000004</v>
      </c>
      <c r="L6" s="11">
        <f t="shared" ref="L6:L33" si="5">F6*F6*H6*0.5*3.1416/4</f>
        <v>0.85530060000000019</v>
      </c>
      <c r="M6" s="11">
        <f t="shared" si="3"/>
        <v>4.2765030000000008</v>
      </c>
    </row>
    <row r="7" spans="1:13" ht="30" x14ac:dyDescent="0.25">
      <c r="A7" s="182"/>
      <c r="B7" s="182" t="s">
        <v>14</v>
      </c>
      <c r="C7" s="14" t="s">
        <v>7</v>
      </c>
      <c r="D7" s="14" t="s">
        <v>8</v>
      </c>
      <c r="E7" s="14">
        <v>38</v>
      </c>
      <c r="F7" s="11">
        <f t="shared" si="4"/>
        <v>0.38</v>
      </c>
      <c r="G7" s="12">
        <f t="shared" si="0"/>
        <v>0.11341176</v>
      </c>
      <c r="H7" s="11">
        <v>20</v>
      </c>
      <c r="I7" s="33">
        <v>1</v>
      </c>
      <c r="J7" s="33">
        <f t="shared" si="1"/>
        <v>5</v>
      </c>
      <c r="K7" s="11">
        <f t="shared" si="2"/>
        <v>0.56705879999999997</v>
      </c>
      <c r="L7" s="11">
        <f t="shared" si="5"/>
        <v>1.1341175999999999</v>
      </c>
      <c r="M7" s="11">
        <f t="shared" si="3"/>
        <v>5.6705879999999995</v>
      </c>
    </row>
    <row r="8" spans="1:13" ht="30" x14ac:dyDescent="0.25">
      <c r="A8" s="182"/>
      <c r="B8" s="182"/>
      <c r="C8" s="14" t="s">
        <v>7</v>
      </c>
      <c r="D8" s="14" t="s">
        <v>8</v>
      </c>
      <c r="E8" s="14">
        <v>40</v>
      </c>
      <c r="F8" s="11">
        <f t="shared" si="4"/>
        <v>0.4</v>
      </c>
      <c r="G8" s="12">
        <f t="shared" si="0"/>
        <v>0.12566400000000003</v>
      </c>
      <c r="H8" s="11">
        <v>20</v>
      </c>
      <c r="I8" s="33">
        <v>1</v>
      </c>
      <c r="J8" s="33">
        <f t="shared" si="1"/>
        <v>5</v>
      </c>
      <c r="K8" s="11">
        <f t="shared" si="2"/>
        <v>0.6283200000000001</v>
      </c>
      <c r="L8" s="11">
        <f t="shared" si="5"/>
        <v>1.2566400000000002</v>
      </c>
      <c r="M8" s="11">
        <f t="shared" si="3"/>
        <v>6.2832000000000008</v>
      </c>
    </row>
    <row r="9" spans="1:13" ht="30" x14ac:dyDescent="0.25">
      <c r="A9" s="182"/>
      <c r="B9" s="182"/>
      <c r="C9" s="14" t="s">
        <v>7</v>
      </c>
      <c r="D9" s="14" t="s">
        <v>8</v>
      </c>
      <c r="E9" s="14">
        <v>31</v>
      </c>
      <c r="F9" s="11">
        <f t="shared" si="4"/>
        <v>0.31</v>
      </c>
      <c r="G9" s="12">
        <f t="shared" si="0"/>
        <v>7.5476940000000006E-2</v>
      </c>
      <c r="H9" s="11">
        <v>20</v>
      </c>
      <c r="I9" s="33">
        <v>1</v>
      </c>
      <c r="J9" s="33">
        <f t="shared" si="1"/>
        <v>5</v>
      </c>
      <c r="K9" s="11">
        <f t="shared" si="2"/>
        <v>0.37738470000000002</v>
      </c>
      <c r="L9" s="11">
        <f t="shared" si="5"/>
        <v>0.75476940000000003</v>
      </c>
      <c r="M9" s="11">
        <f t="shared" si="3"/>
        <v>3.773847</v>
      </c>
    </row>
    <row r="10" spans="1:13" ht="30" x14ac:dyDescent="0.25">
      <c r="A10" s="182"/>
      <c r="B10" s="182"/>
      <c r="C10" s="14" t="s">
        <v>7</v>
      </c>
      <c r="D10" s="14" t="s">
        <v>8</v>
      </c>
      <c r="E10" s="14">
        <v>39</v>
      </c>
      <c r="F10" s="11">
        <f t="shared" si="4"/>
        <v>0.39</v>
      </c>
      <c r="G10" s="12">
        <f t="shared" si="0"/>
        <v>0.11945934000000001</v>
      </c>
      <c r="H10" s="11">
        <v>20</v>
      </c>
      <c r="I10" s="33">
        <v>1</v>
      </c>
      <c r="J10" s="33">
        <f t="shared" si="1"/>
        <v>5</v>
      </c>
      <c r="K10" s="11">
        <f t="shared" si="2"/>
        <v>0.59729670000000001</v>
      </c>
      <c r="L10" s="11">
        <f t="shared" si="5"/>
        <v>1.1945934</v>
      </c>
      <c r="M10" s="11">
        <f t="shared" si="3"/>
        <v>5.9729670000000006</v>
      </c>
    </row>
    <row r="11" spans="1:13" ht="30" x14ac:dyDescent="0.25">
      <c r="A11" s="182"/>
      <c r="B11" s="182"/>
      <c r="C11" s="14" t="s">
        <v>7</v>
      </c>
      <c r="D11" s="14" t="s">
        <v>8</v>
      </c>
      <c r="E11" s="14">
        <v>40</v>
      </c>
      <c r="F11" s="11">
        <f t="shared" si="4"/>
        <v>0.4</v>
      </c>
      <c r="G11" s="12">
        <f t="shared" si="0"/>
        <v>0.12566400000000003</v>
      </c>
      <c r="H11" s="11">
        <v>21</v>
      </c>
      <c r="I11" s="33">
        <v>1</v>
      </c>
      <c r="J11" s="33">
        <f t="shared" si="1"/>
        <v>5</v>
      </c>
      <c r="K11" s="11">
        <f t="shared" si="2"/>
        <v>0.6283200000000001</v>
      </c>
      <c r="L11" s="11">
        <f t="shared" si="5"/>
        <v>1.3194720000000002</v>
      </c>
      <c r="M11" s="11">
        <f t="shared" si="3"/>
        <v>6.597360000000001</v>
      </c>
    </row>
    <row r="12" spans="1:13" ht="30" x14ac:dyDescent="0.25">
      <c r="A12" s="182"/>
      <c r="B12" s="182"/>
      <c r="C12" s="14" t="s">
        <v>7</v>
      </c>
      <c r="D12" s="14" t="s">
        <v>8</v>
      </c>
      <c r="E12" s="14">
        <v>36</v>
      </c>
      <c r="F12" s="11">
        <f t="shared" si="4"/>
        <v>0.36</v>
      </c>
      <c r="G12" s="12">
        <f t="shared" si="0"/>
        <v>0.10178783999999999</v>
      </c>
      <c r="H12" s="11">
        <v>20</v>
      </c>
      <c r="I12" s="33">
        <v>1</v>
      </c>
      <c r="J12" s="33">
        <f t="shared" si="1"/>
        <v>5</v>
      </c>
      <c r="K12" s="11">
        <f t="shared" si="2"/>
        <v>0.50893919999999992</v>
      </c>
      <c r="L12" s="11">
        <f t="shared" si="5"/>
        <v>1.0178783999999998</v>
      </c>
      <c r="M12" s="11">
        <f t="shared" si="3"/>
        <v>5.0893919999999992</v>
      </c>
    </row>
    <row r="13" spans="1:13" ht="30" x14ac:dyDescent="0.25">
      <c r="A13" s="182"/>
      <c r="B13" s="182"/>
      <c r="C13" s="14" t="s">
        <v>7</v>
      </c>
      <c r="D13" s="14" t="s">
        <v>8</v>
      </c>
      <c r="E13" s="14">
        <v>36</v>
      </c>
      <c r="F13" s="11">
        <f t="shared" si="4"/>
        <v>0.36</v>
      </c>
      <c r="G13" s="12">
        <f t="shared" si="0"/>
        <v>0.10178783999999999</v>
      </c>
      <c r="H13" s="11">
        <v>20</v>
      </c>
      <c r="I13" s="33">
        <v>1</v>
      </c>
      <c r="J13" s="33">
        <f t="shared" si="1"/>
        <v>5</v>
      </c>
      <c r="K13" s="11">
        <f t="shared" si="2"/>
        <v>0.50893919999999992</v>
      </c>
      <c r="L13" s="11">
        <f t="shared" si="5"/>
        <v>1.0178783999999998</v>
      </c>
      <c r="M13" s="11">
        <f t="shared" si="3"/>
        <v>5.0893919999999992</v>
      </c>
    </row>
    <row r="14" spans="1:13" ht="30" x14ac:dyDescent="0.25">
      <c r="A14" s="182"/>
      <c r="B14" s="182"/>
      <c r="C14" s="14" t="s">
        <v>7</v>
      </c>
      <c r="D14" s="14" t="s">
        <v>8</v>
      </c>
      <c r="E14" s="14">
        <v>39</v>
      </c>
      <c r="F14" s="11">
        <f t="shared" si="4"/>
        <v>0.39</v>
      </c>
      <c r="G14" s="12">
        <f t="shared" si="0"/>
        <v>0.11945934000000001</v>
      </c>
      <c r="H14" s="11">
        <v>15</v>
      </c>
      <c r="I14" s="33">
        <v>1</v>
      </c>
      <c r="J14" s="33">
        <f t="shared" si="1"/>
        <v>5</v>
      </c>
      <c r="K14" s="11">
        <f t="shared" si="2"/>
        <v>0.59729670000000001</v>
      </c>
      <c r="L14" s="11">
        <f t="shared" si="5"/>
        <v>0.89594505000000013</v>
      </c>
      <c r="M14" s="11">
        <f t="shared" si="3"/>
        <v>4.4797252500000004</v>
      </c>
    </row>
    <row r="15" spans="1:13" ht="30" x14ac:dyDescent="0.25">
      <c r="A15" s="182"/>
      <c r="B15" s="182"/>
      <c r="C15" s="14" t="s">
        <v>7</v>
      </c>
      <c r="D15" s="14" t="s">
        <v>8</v>
      </c>
      <c r="E15" s="14">
        <v>47</v>
      </c>
      <c r="F15" s="11">
        <f t="shared" si="4"/>
        <v>0.47</v>
      </c>
      <c r="G15" s="12">
        <f t="shared" si="0"/>
        <v>0.17349485999999997</v>
      </c>
      <c r="H15" s="11">
        <v>18</v>
      </c>
      <c r="I15" s="33">
        <v>1</v>
      </c>
      <c r="J15" s="33">
        <f t="shared" si="1"/>
        <v>5</v>
      </c>
      <c r="K15" s="11">
        <f t="shared" si="2"/>
        <v>0.86747429999999981</v>
      </c>
      <c r="L15" s="11">
        <f t="shared" si="5"/>
        <v>1.5614537399999997</v>
      </c>
      <c r="M15" s="11">
        <f t="shared" si="3"/>
        <v>7.8072686999999981</v>
      </c>
    </row>
    <row r="16" spans="1:13" ht="30" x14ac:dyDescent="0.25">
      <c r="A16" s="182"/>
      <c r="B16" s="182"/>
      <c r="C16" s="14" t="s">
        <v>7</v>
      </c>
      <c r="D16" s="14" t="s">
        <v>8</v>
      </c>
      <c r="E16" s="14">
        <v>41</v>
      </c>
      <c r="F16" s="11">
        <f t="shared" si="4"/>
        <v>0.41</v>
      </c>
      <c r="G16" s="12">
        <f t="shared" si="0"/>
        <v>0.13202573999999997</v>
      </c>
      <c r="H16" s="11">
        <v>20</v>
      </c>
      <c r="I16" s="33">
        <v>1</v>
      </c>
      <c r="J16" s="33">
        <f t="shared" si="1"/>
        <v>5</v>
      </c>
      <c r="K16" s="11">
        <f t="shared" si="2"/>
        <v>0.6601286999999999</v>
      </c>
      <c r="L16" s="11">
        <f t="shared" si="5"/>
        <v>1.3202573999999996</v>
      </c>
      <c r="M16" s="11">
        <f t="shared" si="3"/>
        <v>6.6012869999999975</v>
      </c>
    </row>
    <row r="17" spans="1:13" ht="30" x14ac:dyDescent="0.25">
      <c r="A17" s="182"/>
      <c r="B17" s="182"/>
      <c r="C17" s="14" t="s">
        <v>7</v>
      </c>
      <c r="D17" s="14" t="s">
        <v>8</v>
      </c>
      <c r="E17" s="14">
        <v>39</v>
      </c>
      <c r="F17" s="11">
        <f t="shared" si="4"/>
        <v>0.39</v>
      </c>
      <c r="G17" s="12">
        <f t="shared" si="0"/>
        <v>0.11945934000000001</v>
      </c>
      <c r="H17" s="11">
        <v>15</v>
      </c>
      <c r="I17" s="33">
        <v>1</v>
      </c>
      <c r="J17" s="33">
        <f t="shared" si="1"/>
        <v>5</v>
      </c>
      <c r="K17" s="11">
        <f t="shared" si="2"/>
        <v>0.59729670000000001</v>
      </c>
      <c r="L17" s="11">
        <f t="shared" si="5"/>
        <v>0.89594505000000013</v>
      </c>
      <c r="M17" s="11">
        <f t="shared" si="3"/>
        <v>4.4797252500000004</v>
      </c>
    </row>
    <row r="18" spans="1:13" ht="30" x14ac:dyDescent="0.25">
      <c r="A18" s="182"/>
      <c r="B18" s="182"/>
      <c r="C18" s="14" t="s">
        <v>7</v>
      </c>
      <c r="D18" s="14" t="s">
        <v>8</v>
      </c>
      <c r="E18" s="14">
        <v>45</v>
      </c>
      <c r="F18" s="11">
        <f t="shared" si="4"/>
        <v>0.45</v>
      </c>
      <c r="G18" s="12">
        <f t="shared" si="0"/>
        <v>0.1590435</v>
      </c>
      <c r="H18" s="11">
        <v>20</v>
      </c>
      <c r="I18" s="33">
        <v>1</v>
      </c>
      <c r="J18" s="33">
        <f t="shared" si="1"/>
        <v>5</v>
      </c>
      <c r="K18" s="11">
        <f t="shared" si="2"/>
        <v>0.79521750000000002</v>
      </c>
      <c r="L18" s="11">
        <f t="shared" si="5"/>
        <v>1.5904350000000003</v>
      </c>
      <c r="M18" s="11">
        <f t="shared" si="3"/>
        <v>7.9521750000000013</v>
      </c>
    </row>
    <row r="19" spans="1:13" ht="30" x14ac:dyDescent="0.25">
      <c r="A19" s="182"/>
      <c r="B19" s="182"/>
      <c r="C19" s="14" t="s">
        <v>7</v>
      </c>
      <c r="D19" s="14" t="s">
        <v>8</v>
      </c>
      <c r="E19" s="14">
        <v>33</v>
      </c>
      <c r="F19" s="11">
        <f t="shared" si="4"/>
        <v>0.33</v>
      </c>
      <c r="G19" s="12">
        <f t="shared" si="0"/>
        <v>8.5530060000000005E-2</v>
      </c>
      <c r="H19" s="11">
        <v>20</v>
      </c>
      <c r="I19" s="33">
        <v>1</v>
      </c>
      <c r="J19" s="33">
        <f t="shared" si="1"/>
        <v>5</v>
      </c>
      <c r="K19" s="11">
        <f t="shared" si="2"/>
        <v>0.42765030000000004</v>
      </c>
      <c r="L19" s="11">
        <f t="shared" si="5"/>
        <v>0.85530060000000019</v>
      </c>
      <c r="M19" s="11">
        <f t="shared" si="3"/>
        <v>4.2765030000000008</v>
      </c>
    </row>
    <row r="20" spans="1:13" ht="30" x14ac:dyDescent="0.25">
      <c r="A20" s="182"/>
      <c r="B20" s="182"/>
      <c r="C20" s="14" t="s">
        <v>7</v>
      </c>
      <c r="D20" s="14" t="s">
        <v>8</v>
      </c>
      <c r="E20" s="14">
        <v>31</v>
      </c>
      <c r="F20" s="11">
        <f t="shared" si="4"/>
        <v>0.31</v>
      </c>
      <c r="G20" s="12">
        <f t="shared" si="0"/>
        <v>7.5476940000000006E-2</v>
      </c>
      <c r="H20" s="11">
        <v>18</v>
      </c>
      <c r="I20" s="33">
        <v>1</v>
      </c>
      <c r="J20" s="33">
        <f t="shared" si="1"/>
        <v>5</v>
      </c>
      <c r="K20" s="11">
        <f t="shared" si="2"/>
        <v>0.37738470000000002</v>
      </c>
      <c r="L20" s="11">
        <f t="shared" si="5"/>
        <v>0.67929245999999999</v>
      </c>
      <c r="M20" s="11">
        <f t="shared" si="3"/>
        <v>3.3964623</v>
      </c>
    </row>
    <row r="21" spans="1:13" ht="30" x14ac:dyDescent="0.25">
      <c r="A21" s="182"/>
      <c r="B21" s="182"/>
      <c r="C21" s="14" t="s">
        <v>7</v>
      </c>
      <c r="D21" s="14" t="s">
        <v>8</v>
      </c>
      <c r="E21" s="14">
        <v>39</v>
      </c>
      <c r="F21" s="11">
        <f t="shared" si="4"/>
        <v>0.39</v>
      </c>
      <c r="G21" s="12">
        <f t="shared" si="0"/>
        <v>0.11945934000000001</v>
      </c>
      <c r="H21" s="11">
        <v>18</v>
      </c>
      <c r="I21" s="33">
        <v>1</v>
      </c>
      <c r="J21" s="33">
        <f t="shared" si="1"/>
        <v>5</v>
      </c>
      <c r="K21" s="11">
        <f t="shared" si="2"/>
        <v>0.59729670000000001</v>
      </c>
      <c r="L21" s="11">
        <f t="shared" si="5"/>
        <v>1.0751340599999999</v>
      </c>
      <c r="M21" s="11">
        <f t="shared" si="3"/>
        <v>5.3756702999999995</v>
      </c>
    </row>
    <row r="22" spans="1:13" ht="30" x14ac:dyDescent="0.25">
      <c r="A22" s="182"/>
      <c r="B22" s="182"/>
      <c r="C22" s="14" t="s">
        <v>7</v>
      </c>
      <c r="D22" s="14" t="s">
        <v>8</v>
      </c>
      <c r="E22" s="14">
        <v>53</v>
      </c>
      <c r="F22" s="11">
        <f t="shared" si="4"/>
        <v>0.53</v>
      </c>
      <c r="G22" s="12">
        <f t="shared" si="0"/>
        <v>0.22061886000000003</v>
      </c>
      <c r="H22" s="11">
        <v>20</v>
      </c>
      <c r="I22" s="33">
        <v>1</v>
      </c>
      <c r="J22" s="33">
        <f t="shared" si="1"/>
        <v>5</v>
      </c>
      <c r="K22" s="11">
        <f t="shared" si="2"/>
        <v>1.1030943000000002</v>
      </c>
      <c r="L22" s="11">
        <f t="shared" si="5"/>
        <v>2.2061885999999999</v>
      </c>
      <c r="M22" s="11">
        <f t="shared" si="3"/>
        <v>11.030943000000001</v>
      </c>
    </row>
    <row r="23" spans="1:13" ht="30" x14ac:dyDescent="0.25">
      <c r="A23" s="182"/>
      <c r="B23" s="182"/>
      <c r="C23" s="14" t="s">
        <v>7</v>
      </c>
      <c r="D23" s="14" t="s">
        <v>8</v>
      </c>
      <c r="E23" s="14">
        <v>46</v>
      </c>
      <c r="F23" s="11">
        <f t="shared" si="4"/>
        <v>0.46</v>
      </c>
      <c r="G23" s="12">
        <f t="shared" si="0"/>
        <v>0.16619064</v>
      </c>
      <c r="H23" s="11">
        <v>20</v>
      </c>
      <c r="I23" s="33">
        <v>1</v>
      </c>
      <c r="J23" s="33">
        <f t="shared" si="1"/>
        <v>5</v>
      </c>
      <c r="K23" s="11">
        <f t="shared" si="2"/>
        <v>0.83095319999999995</v>
      </c>
      <c r="L23" s="11">
        <f t="shared" si="5"/>
        <v>1.6619064000000001</v>
      </c>
      <c r="M23" s="11">
        <f t="shared" si="3"/>
        <v>8.3095320000000008</v>
      </c>
    </row>
    <row r="24" spans="1:13" ht="30" x14ac:dyDescent="0.25">
      <c r="A24" s="182"/>
      <c r="B24" s="182"/>
      <c r="C24" s="14" t="s">
        <v>7</v>
      </c>
      <c r="D24" s="14" t="s">
        <v>8</v>
      </c>
      <c r="E24" s="14">
        <v>31</v>
      </c>
      <c r="F24" s="11">
        <f t="shared" si="4"/>
        <v>0.31</v>
      </c>
      <c r="G24" s="12">
        <f t="shared" si="0"/>
        <v>7.5476940000000006E-2</v>
      </c>
      <c r="H24" s="11">
        <v>20</v>
      </c>
      <c r="I24" s="33">
        <v>1</v>
      </c>
      <c r="J24" s="33">
        <f t="shared" si="1"/>
        <v>5</v>
      </c>
      <c r="K24" s="11">
        <f t="shared" si="2"/>
        <v>0.37738470000000002</v>
      </c>
      <c r="L24" s="11">
        <f t="shared" si="5"/>
        <v>0.75476940000000003</v>
      </c>
      <c r="M24" s="11">
        <f t="shared" si="3"/>
        <v>3.773847</v>
      </c>
    </row>
    <row r="25" spans="1:13" ht="30" x14ac:dyDescent="0.25">
      <c r="A25" s="182"/>
      <c r="B25" s="182"/>
      <c r="C25" s="14" t="s">
        <v>7</v>
      </c>
      <c r="D25" s="14" t="s">
        <v>8</v>
      </c>
      <c r="E25" s="14">
        <v>31</v>
      </c>
      <c r="F25" s="11">
        <f t="shared" si="4"/>
        <v>0.31</v>
      </c>
      <c r="G25" s="12">
        <f t="shared" si="0"/>
        <v>7.5476940000000006E-2</v>
      </c>
      <c r="H25" s="11">
        <v>20</v>
      </c>
      <c r="I25" s="33">
        <v>1</v>
      </c>
      <c r="J25" s="33">
        <f t="shared" si="1"/>
        <v>5</v>
      </c>
      <c r="K25" s="11">
        <f t="shared" si="2"/>
        <v>0.37738470000000002</v>
      </c>
      <c r="L25" s="11">
        <f t="shared" si="5"/>
        <v>0.75476940000000003</v>
      </c>
      <c r="M25" s="11">
        <f t="shared" si="3"/>
        <v>3.773847</v>
      </c>
    </row>
    <row r="26" spans="1:13" ht="30" x14ac:dyDescent="0.25">
      <c r="A26" s="182"/>
      <c r="B26" s="182"/>
      <c r="C26" s="14" t="s">
        <v>7</v>
      </c>
      <c r="D26" s="14" t="s">
        <v>8</v>
      </c>
      <c r="E26" s="14">
        <v>33</v>
      </c>
      <c r="F26" s="11">
        <f t="shared" si="4"/>
        <v>0.33</v>
      </c>
      <c r="G26" s="12">
        <f t="shared" si="0"/>
        <v>8.5530060000000005E-2</v>
      </c>
      <c r="H26" s="11">
        <v>20</v>
      </c>
      <c r="I26" s="33">
        <v>1</v>
      </c>
      <c r="J26" s="33">
        <f t="shared" si="1"/>
        <v>5</v>
      </c>
      <c r="K26" s="11">
        <f t="shared" si="2"/>
        <v>0.42765030000000004</v>
      </c>
      <c r="L26" s="11">
        <f t="shared" si="5"/>
        <v>0.85530060000000019</v>
      </c>
      <c r="M26" s="11">
        <f t="shared" si="3"/>
        <v>4.2765030000000008</v>
      </c>
    </row>
    <row r="27" spans="1:13" ht="30" x14ac:dyDescent="0.25">
      <c r="A27" s="182"/>
      <c r="B27" s="182"/>
      <c r="C27" s="14" t="s">
        <v>7</v>
      </c>
      <c r="D27" s="14" t="s">
        <v>8</v>
      </c>
      <c r="E27" s="14">
        <v>45</v>
      </c>
      <c r="F27" s="11">
        <f t="shared" si="4"/>
        <v>0.45</v>
      </c>
      <c r="G27" s="12">
        <f t="shared" si="0"/>
        <v>0.1590435</v>
      </c>
      <c r="H27" s="11">
        <v>20</v>
      </c>
      <c r="I27" s="33">
        <v>1</v>
      </c>
      <c r="J27" s="33">
        <f t="shared" si="1"/>
        <v>5</v>
      </c>
      <c r="K27" s="11">
        <f t="shared" si="2"/>
        <v>0.79521750000000002</v>
      </c>
      <c r="L27" s="11">
        <f t="shared" si="5"/>
        <v>1.5904350000000003</v>
      </c>
      <c r="M27" s="11">
        <f t="shared" si="3"/>
        <v>7.9521750000000013</v>
      </c>
    </row>
    <row r="28" spans="1:13" ht="30" x14ac:dyDescent="0.25">
      <c r="A28" s="182"/>
      <c r="B28" s="182"/>
      <c r="C28" s="14" t="s">
        <v>7</v>
      </c>
      <c r="D28" s="14" t="s">
        <v>8</v>
      </c>
      <c r="E28" s="14">
        <v>60</v>
      </c>
      <c r="F28" s="11">
        <f t="shared" si="4"/>
        <v>0.6</v>
      </c>
      <c r="G28" s="12">
        <f t="shared" si="0"/>
        <v>0.282744</v>
      </c>
      <c r="H28" s="11">
        <v>18</v>
      </c>
      <c r="I28" s="33">
        <v>1</v>
      </c>
      <c r="J28" s="33">
        <f t="shared" si="1"/>
        <v>5</v>
      </c>
      <c r="K28" s="11">
        <f t="shared" si="2"/>
        <v>1.4137200000000001</v>
      </c>
      <c r="L28" s="11">
        <f t="shared" si="5"/>
        <v>2.5446959999999996</v>
      </c>
      <c r="M28" s="11">
        <f t="shared" si="3"/>
        <v>12.723479999999999</v>
      </c>
    </row>
    <row r="29" spans="1:13" ht="30" x14ac:dyDescent="0.25">
      <c r="A29" s="182"/>
      <c r="B29" s="182"/>
      <c r="C29" s="14" t="s">
        <v>7</v>
      </c>
      <c r="D29" s="14" t="s">
        <v>8</v>
      </c>
      <c r="E29" s="14">
        <v>37</v>
      </c>
      <c r="F29" s="11">
        <f t="shared" si="4"/>
        <v>0.37</v>
      </c>
      <c r="G29" s="12">
        <f t="shared" si="0"/>
        <v>0.10752125999999999</v>
      </c>
      <c r="H29" s="11">
        <v>20</v>
      </c>
      <c r="I29" s="33">
        <v>1</v>
      </c>
      <c r="J29" s="33">
        <f t="shared" si="1"/>
        <v>5</v>
      </c>
      <c r="K29" s="11">
        <f t="shared" si="2"/>
        <v>0.53760629999999998</v>
      </c>
      <c r="L29" s="11">
        <f t="shared" si="5"/>
        <v>1.0752126</v>
      </c>
      <c r="M29" s="11">
        <f t="shared" si="3"/>
        <v>5.3760630000000003</v>
      </c>
    </row>
    <row r="30" spans="1:13" ht="30" x14ac:dyDescent="0.25">
      <c r="A30" s="182"/>
      <c r="B30" s="182"/>
      <c r="C30" s="14" t="s">
        <v>7</v>
      </c>
      <c r="D30" s="14" t="s">
        <v>8</v>
      </c>
      <c r="E30" s="14">
        <v>36</v>
      </c>
      <c r="F30" s="11">
        <f t="shared" si="4"/>
        <v>0.36</v>
      </c>
      <c r="G30" s="12">
        <f t="shared" si="0"/>
        <v>0.10178783999999999</v>
      </c>
      <c r="H30" s="11">
        <v>20</v>
      </c>
      <c r="I30" s="33">
        <v>1</v>
      </c>
      <c r="J30" s="33">
        <f t="shared" si="1"/>
        <v>5</v>
      </c>
      <c r="K30" s="11">
        <f t="shared" si="2"/>
        <v>0.50893919999999992</v>
      </c>
      <c r="L30" s="11">
        <f t="shared" si="5"/>
        <v>1.0178783999999998</v>
      </c>
      <c r="M30" s="11">
        <f t="shared" si="3"/>
        <v>5.0893919999999992</v>
      </c>
    </row>
    <row r="31" spans="1:13" ht="30" x14ac:dyDescent="0.25">
      <c r="A31" s="182"/>
      <c r="B31" s="182"/>
      <c r="C31" s="14" t="s">
        <v>7</v>
      </c>
      <c r="D31" s="14" t="s">
        <v>8</v>
      </c>
      <c r="E31" s="14">
        <v>40</v>
      </c>
      <c r="F31" s="11">
        <f t="shared" si="4"/>
        <v>0.4</v>
      </c>
      <c r="G31" s="12">
        <f t="shared" si="0"/>
        <v>0.12566400000000003</v>
      </c>
      <c r="H31" s="11">
        <v>22</v>
      </c>
      <c r="I31" s="33">
        <v>1</v>
      </c>
      <c r="J31" s="33">
        <f t="shared" si="1"/>
        <v>5</v>
      </c>
      <c r="K31" s="11">
        <f t="shared" si="2"/>
        <v>0.6283200000000001</v>
      </c>
      <c r="L31" s="11">
        <f t="shared" si="5"/>
        <v>1.3823040000000002</v>
      </c>
      <c r="M31" s="11">
        <f t="shared" si="3"/>
        <v>6.9115200000000012</v>
      </c>
    </row>
    <row r="32" spans="1:13" x14ac:dyDescent="0.25">
      <c r="A32" s="182"/>
      <c r="B32" s="8" t="s">
        <v>15</v>
      </c>
      <c r="C32" s="14" t="s">
        <v>16</v>
      </c>
      <c r="D32" s="14" t="s">
        <v>17</v>
      </c>
      <c r="E32" s="14">
        <v>31</v>
      </c>
      <c r="F32" s="11">
        <f t="shared" si="4"/>
        <v>0.31</v>
      </c>
      <c r="G32" s="12">
        <f t="shared" si="0"/>
        <v>7.5476940000000006E-2</v>
      </c>
      <c r="H32" s="11">
        <v>18</v>
      </c>
      <c r="I32" s="33">
        <v>1</v>
      </c>
      <c r="J32" s="33">
        <f t="shared" si="1"/>
        <v>5</v>
      </c>
      <c r="K32" s="11">
        <f t="shared" si="2"/>
        <v>0.37738470000000002</v>
      </c>
      <c r="L32" s="11">
        <f t="shared" si="5"/>
        <v>0.67929245999999999</v>
      </c>
      <c r="M32" s="11">
        <f t="shared" si="3"/>
        <v>3.3964623</v>
      </c>
    </row>
    <row r="33" spans="1:13" ht="30" x14ac:dyDescent="0.25">
      <c r="A33" s="8" t="s">
        <v>33</v>
      </c>
      <c r="B33" s="8" t="s">
        <v>15</v>
      </c>
      <c r="C33" s="14" t="s">
        <v>18</v>
      </c>
      <c r="D33" s="14" t="s">
        <v>35</v>
      </c>
      <c r="E33" s="14">
        <v>34</v>
      </c>
      <c r="F33" s="11">
        <f t="shared" si="4"/>
        <v>0.34</v>
      </c>
      <c r="G33" s="12">
        <f t="shared" si="0"/>
        <v>9.079224000000001E-2</v>
      </c>
      <c r="H33" s="11">
        <v>20</v>
      </c>
      <c r="I33" s="33">
        <v>1</v>
      </c>
      <c r="J33" s="33">
        <f t="shared" si="1"/>
        <v>5</v>
      </c>
      <c r="K33" s="11">
        <f t="shared" si="2"/>
        <v>0.45396120000000006</v>
      </c>
      <c r="L33" s="11">
        <f t="shared" si="5"/>
        <v>0.90792240000000013</v>
      </c>
      <c r="M33" s="11">
        <f t="shared" si="3"/>
        <v>4.5396120000000009</v>
      </c>
    </row>
    <row r="34" spans="1:13" ht="30" x14ac:dyDescent="0.25">
      <c r="A34" s="182" t="s">
        <v>76</v>
      </c>
      <c r="B34" s="182" t="s">
        <v>14</v>
      </c>
      <c r="C34" s="14" t="s">
        <v>57</v>
      </c>
      <c r="D34" s="14" t="s">
        <v>58</v>
      </c>
      <c r="E34" s="14">
        <v>32</v>
      </c>
      <c r="F34" s="14">
        <f t="shared" ref="F34:F58" si="6">E34/100</f>
        <v>0.32</v>
      </c>
      <c r="G34" s="12">
        <f t="shared" ref="G34:G58" si="7">F34*F34*3.1416/4</f>
        <v>8.0424960000000004E-2</v>
      </c>
      <c r="H34" s="14">
        <v>12</v>
      </c>
      <c r="I34" s="33">
        <v>1</v>
      </c>
      <c r="J34" s="33">
        <f t="shared" ref="J34:J58" si="8">I34*10000/2000</f>
        <v>5</v>
      </c>
      <c r="K34" s="11">
        <f t="shared" si="2"/>
        <v>0.4021248</v>
      </c>
      <c r="L34" s="20">
        <f t="shared" ref="L34:L58" si="9">F34*F34*H34*0.5*3.1416/4</f>
        <v>0.48254976000000005</v>
      </c>
      <c r="M34" s="20">
        <f t="shared" ref="M34:M58" si="10">L34*J34</f>
        <v>2.4127488000000001</v>
      </c>
    </row>
    <row r="35" spans="1:13" ht="30" x14ac:dyDescent="0.25">
      <c r="A35" s="182"/>
      <c r="B35" s="182"/>
      <c r="C35" s="14" t="s">
        <v>44</v>
      </c>
      <c r="D35" s="14" t="s">
        <v>45</v>
      </c>
      <c r="E35" s="14">
        <v>48</v>
      </c>
      <c r="F35" s="14">
        <f t="shared" si="6"/>
        <v>0.48</v>
      </c>
      <c r="G35" s="12">
        <f t="shared" si="7"/>
        <v>0.18095616</v>
      </c>
      <c r="H35" s="14">
        <v>6</v>
      </c>
      <c r="I35" s="33">
        <v>1</v>
      </c>
      <c r="J35" s="33">
        <f t="shared" si="8"/>
        <v>5</v>
      </c>
      <c r="K35" s="11">
        <f t="shared" si="2"/>
        <v>0.90478080000000005</v>
      </c>
      <c r="L35" s="20">
        <f t="shared" si="9"/>
        <v>0.54286847999999999</v>
      </c>
      <c r="M35" s="20">
        <f t="shared" si="10"/>
        <v>2.7143424</v>
      </c>
    </row>
    <row r="36" spans="1:13" ht="30" x14ac:dyDescent="0.25">
      <c r="A36" s="182"/>
      <c r="B36" s="182"/>
      <c r="C36" s="14" t="s">
        <v>53</v>
      </c>
      <c r="D36" s="14" t="s">
        <v>54</v>
      </c>
      <c r="E36" s="14">
        <v>35</v>
      </c>
      <c r="F36" s="14">
        <f t="shared" si="6"/>
        <v>0.35</v>
      </c>
      <c r="G36" s="12">
        <f t="shared" si="7"/>
        <v>9.6211499999999991E-2</v>
      </c>
      <c r="H36" s="14">
        <v>5</v>
      </c>
      <c r="I36" s="33">
        <v>1</v>
      </c>
      <c r="J36" s="33">
        <f t="shared" si="8"/>
        <v>5</v>
      </c>
      <c r="K36" s="11">
        <f t="shared" si="2"/>
        <v>0.48105749999999997</v>
      </c>
      <c r="L36" s="20">
        <f t="shared" si="9"/>
        <v>0.24052874999999996</v>
      </c>
      <c r="M36" s="20">
        <f t="shared" si="10"/>
        <v>1.2026437499999998</v>
      </c>
    </row>
    <row r="37" spans="1:13" ht="30" x14ac:dyDescent="0.25">
      <c r="A37" s="182"/>
      <c r="B37" s="182"/>
      <c r="C37" s="14" t="s">
        <v>44</v>
      </c>
      <c r="D37" s="14" t="s">
        <v>45</v>
      </c>
      <c r="E37" s="14">
        <v>36</v>
      </c>
      <c r="F37" s="14">
        <f t="shared" si="6"/>
        <v>0.36</v>
      </c>
      <c r="G37" s="12">
        <f t="shared" si="7"/>
        <v>0.10178783999999999</v>
      </c>
      <c r="H37" s="14">
        <v>12</v>
      </c>
      <c r="I37" s="33">
        <v>1</v>
      </c>
      <c r="J37" s="33">
        <f t="shared" si="8"/>
        <v>5</v>
      </c>
      <c r="K37" s="11">
        <f t="shared" si="2"/>
        <v>0.50893919999999992</v>
      </c>
      <c r="L37" s="20">
        <f t="shared" si="9"/>
        <v>0.61072704</v>
      </c>
      <c r="M37" s="20">
        <f t="shared" si="10"/>
        <v>3.0536352</v>
      </c>
    </row>
    <row r="38" spans="1:13" ht="30" x14ac:dyDescent="0.25">
      <c r="A38" s="182"/>
      <c r="B38" s="182"/>
      <c r="C38" s="14" t="s">
        <v>77</v>
      </c>
      <c r="D38" s="14" t="s">
        <v>78</v>
      </c>
      <c r="E38" s="14">
        <v>42</v>
      </c>
      <c r="F38" s="14">
        <f t="shared" si="6"/>
        <v>0.42</v>
      </c>
      <c r="G38" s="12">
        <f t="shared" si="7"/>
        <v>0.13854455999999998</v>
      </c>
      <c r="H38" s="14">
        <v>7</v>
      </c>
      <c r="I38" s="33">
        <v>1</v>
      </c>
      <c r="J38" s="33">
        <f t="shared" si="8"/>
        <v>5</v>
      </c>
      <c r="K38" s="11">
        <f t="shared" si="2"/>
        <v>0.69272279999999986</v>
      </c>
      <c r="L38" s="20">
        <f t="shared" si="9"/>
        <v>0.48490595999999997</v>
      </c>
      <c r="M38" s="20">
        <f t="shared" si="10"/>
        <v>2.4245297999999997</v>
      </c>
    </row>
    <row r="39" spans="1:13" ht="30" x14ac:dyDescent="0.25">
      <c r="A39" s="182"/>
      <c r="B39" s="182"/>
      <c r="C39" s="14" t="s">
        <v>79</v>
      </c>
      <c r="D39" s="14" t="s">
        <v>80</v>
      </c>
      <c r="E39" s="14">
        <v>34</v>
      </c>
      <c r="F39" s="14">
        <f t="shared" si="6"/>
        <v>0.34</v>
      </c>
      <c r="G39" s="12">
        <f t="shared" si="7"/>
        <v>9.079224000000001E-2</v>
      </c>
      <c r="H39" s="14">
        <v>15</v>
      </c>
      <c r="I39" s="33">
        <v>1</v>
      </c>
      <c r="J39" s="33">
        <f t="shared" si="8"/>
        <v>5</v>
      </c>
      <c r="K39" s="11">
        <f t="shared" si="2"/>
        <v>0.45396120000000006</v>
      </c>
      <c r="L39" s="20">
        <f t="shared" si="9"/>
        <v>0.68094180000000015</v>
      </c>
      <c r="M39" s="20">
        <f t="shared" si="10"/>
        <v>3.4047090000000009</v>
      </c>
    </row>
    <row r="40" spans="1:13" ht="30" x14ac:dyDescent="0.25">
      <c r="A40" s="182"/>
      <c r="B40" s="182"/>
      <c r="C40" s="14" t="s">
        <v>79</v>
      </c>
      <c r="D40" s="14" t="s">
        <v>80</v>
      </c>
      <c r="E40" s="14">
        <v>42</v>
      </c>
      <c r="F40" s="14">
        <f t="shared" si="6"/>
        <v>0.42</v>
      </c>
      <c r="G40" s="12">
        <f t="shared" si="7"/>
        <v>0.13854455999999998</v>
      </c>
      <c r="H40" s="14">
        <v>20</v>
      </c>
      <c r="I40" s="33">
        <v>1</v>
      </c>
      <c r="J40" s="33">
        <f t="shared" si="8"/>
        <v>5</v>
      </c>
      <c r="K40" s="11">
        <f t="shared" si="2"/>
        <v>0.69272279999999986</v>
      </c>
      <c r="L40" s="20">
        <f t="shared" si="9"/>
        <v>1.3854455999999997</v>
      </c>
      <c r="M40" s="20">
        <f t="shared" si="10"/>
        <v>6.9272279999999986</v>
      </c>
    </row>
    <row r="41" spans="1:13" ht="30" x14ac:dyDescent="0.25">
      <c r="A41" s="182"/>
      <c r="B41" s="182"/>
      <c r="C41" s="14" t="s">
        <v>40</v>
      </c>
      <c r="D41" s="14" t="s">
        <v>41</v>
      </c>
      <c r="E41" s="14">
        <v>32</v>
      </c>
      <c r="F41" s="14">
        <f t="shared" si="6"/>
        <v>0.32</v>
      </c>
      <c r="G41" s="12">
        <f t="shared" si="7"/>
        <v>8.0424960000000004E-2</v>
      </c>
      <c r="H41" s="14">
        <v>6</v>
      </c>
      <c r="I41" s="33">
        <v>1</v>
      </c>
      <c r="J41" s="33">
        <f t="shared" si="8"/>
        <v>5</v>
      </c>
      <c r="K41" s="11">
        <f t="shared" si="2"/>
        <v>0.4021248</v>
      </c>
      <c r="L41" s="20">
        <f t="shared" si="9"/>
        <v>0.24127488000000002</v>
      </c>
      <c r="M41" s="20">
        <f t="shared" si="10"/>
        <v>1.2063744000000001</v>
      </c>
    </row>
    <row r="42" spans="1:13" ht="30" x14ac:dyDescent="0.25">
      <c r="A42" s="182"/>
      <c r="B42" s="182"/>
      <c r="C42" s="14" t="s">
        <v>9</v>
      </c>
      <c r="D42" s="14" t="s">
        <v>10</v>
      </c>
      <c r="E42" s="14">
        <v>52</v>
      </c>
      <c r="F42" s="14">
        <f t="shared" si="6"/>
        <v>0.52</v>
      </c>
      <c r="G42" s="12">
        <f t="shared" si="7"/>
        <v>0.21237216000000003</v>
      </c>
      <c r="H42" s="14">
        <v>15</v>
      </c>
      <c r="I42" s="33">
        <v>1</v>
      </c>
      <c r="J42" s="33">
        <f t="shared" si="8"/>
        <v>5</v>
      </c>
      <c r="K42" s="11">
        <f t="shared" si="2"/>
        <v>1.0618608000000003</v>
      </c>
      <c r="L42" s="20">
        <f t="shared" si="9"/>
        <v>1.5927912</v>
      </c>
      <c r="M42" s="20">
        <f t="shared" si="10"/>
        <v>7.9639559999999996</v>
      </c>
    </row>
    <row r="43" spans="1:13" ht="30" x14ac:dyDescent="0.25">
      <c r="A43" s="182"/>
      <c r="B43" s="182"/>
      <c r="C43" s="14" t="s">
        <v>81</v>
      </c>
      <c r="D43" s="14" t="s">
        <v>70</v>
      </c>
      <c r="E43" s="14">
        <v>34</v>
      </c>
      <c r="F43" s="14">
        <f t="shared" si="6"/>
        <v>0.34</v>
      </c>
      <c r="G43" s="12">
        <f t="shared" si="7"/>
        <v>9.079224000000001E-2</v>
      </c>
      <c r="H43" s="14">
        <v>10</v>
      </c>
      <c r="I43" s="33">
        <v>1</v>
      </c>
      <c r="J43" s="33">
        <f t="shared" si="8"/>
        <v>5</v>
      </c>
      <c r="K43" s="11">
        <f t="shared" si="2"/>
        <v>0.45396120000000006</v>
      </c>
      <c r="L43" s="20">
        <f t="shared" si="9"/>
        <v>0.45396120000000006</v>
      </c>
      <c r="M43" s="20">
        <f t="shared" si="10"/>
        <v>2.2698060000000004</v>
      </c>
    </row>
    <row r="44" spans="1:13" ht="30" x14ac:dyDescent="0.25">
      <c r="A44" s="182" t="s">
        <v>91</v>
      </c>
      <c r="B44" s="182" t="s">
        <v>6</v>
      </c>
      <c r="C44" s="14" t="s">
        <v>7</v>
      </c>
      <c r="D44" s="14" t="s">
        <v>8</v>
      </c>
      <c r="E44" s="14">
        <v>121</v>
      </c>
      <c r="F44" s="11">
        <f t="shared" si="6"/>
        <v>1.21</v>
      </c>
      <c r="G44" s="12">
        <f t="shared" si="7"/>
        <v>1.1499041399999999</v>
      </c>
      <c r="H44" s="11">
        <v>22</v>
      </c>
      <c r="I44" s="33">
        <v>1</v>
      </c>
      <c r="J44" s="33">
        <f t="shared" si="8"/>
        <v>5</v>
      </c>
      <c r="K44" s="11">
        <f t="shared" si="2"/>
        <v>5.7495206999999997</v>
      </c>
      <c r="L44" s="11">
        <f t="shared" si="9"/>
        <v>12.64894554</v>
      </c>
      <c r="M44" s="11">
        <f t="shared" si="10"/>
        <v>63.244727699999999</v>
      </c>
    </row>
    <row r="45" spans="1:13" ht="30" x14ac:dyDescent="0.25">
      <c r="A45" s="182"/>
      <c r="B45" s="182"/>
      <c r="C45" s="14" t="s">
        <v>7</v>
      </c>
      <c r="D45" s="14" t="s">
        <v>8</v>
      </c>
      <c r="E45" s="14">
        <v>187</v>
      </c>
      <c r="F45" s="11">
        <f t="shared" si="6"/>
        <v>1.87</v>
      </c>
      <c r="G45" s="12">
        <f t="shared" si="7"/>
        <v>2.7464652600000004</v>
      </c>
      <c r="H45" s="11">
        <v>20</v>
      </c>
      <c r="I45" s="33">
        <v>1</v>
      </c>
      <c r="J45" s="33">
        <f t="shared" si="8"/>
        <v>5</v>
      </c>
      <c r="K45" s="11">
        <f t="shared" si="2"/>
        <v>13.732326300000002</v>
      </c>
      <c r="L45" s="11">
        <f t="shared" si="9"/>
        <v>27.464652600000004</v>
      </c>
      <c r="M45" s="11">
        <f t="shared" si="10"/>
        <v>137.32326300000003</v>
      </c>
    </row>
    <row r="46" spans="1:13" ht="30" x14ac:dyDescent="0.25">
      <c r="A46" s="182"/>
      <c r="B46" s="182"/>
      <c r="C46" s="14" t="s">
        <v>7</v>
      </c>
      <c r="D46" s="14" t="s">
        <v>8</v>
      </c>
      <c r="E46" s="14">
        <v>129</v>
      </c>
      <c r="F46" s="11">
        <f t="shared" si="6"/>
        <v>1.29</v>
      </c>
      <c r="G46" s="12">
        <f t="shared" si="7"/>
        <v>1.3069841400000002</v>
      </c>
      <c r="H46" s="11">
        <v>18</v>
      </c>
      <c r="I46" s="33">
        <v>1</v>
      </c>
      <c r="J46" s="33">
        <f t="shared" si="8"/>
        <v>5</v>
      </c>
      <c r="K46" s="11">
        <f t="shared" si="2"/>
        <v>6.5349207000000007</v>
      </c>
      <c r="L46" s="11">
        <f t="shared" si="9"/>
        <v>11.762857260000001</v>
      </c>
      <c r="M46" s="11">
        <f t="shared" si="10"/>
        <v>58.814286300000006</v>
      </c>
    </row>
    <row r="47" spans="1:13" ht="30" x14ac:dyDescent="0.25">
      <c r="A47" s="182"/>
      <c r="B47" s="182" t="s">
        <v>14</v>
      </c>
      <c r="C47" s="14" t="s">
        <v>7</v>
      </c>
      <c r="D47" s="14" t="s">
        <v>8</v>
      </c>
      <c r="E47" s="14">
        <v>195</v>
      </c>
      <c r="F47" s="11">
        <f t="shared" si="6"/>
        <v>1.95</v>
      </c>
      <c r="G47" s="12">
        <f t="shared" si="7"/>
        <v>2.9864834999999998</v>
      </c>
      <c r="H47" s="11">
        <v>20</v>
      </c>
      <c r="I47" s="33">
        <v>1</v>
      </c>
      <c r="J47" s="33">
        <f t="shared" si="8"/>
        <v>5</v>
      </c>
      <c r="K47" s="11">
        <f t="shared" si="2"/>
        <v>14.9324175</v>
      </c>
      <c r="L47" s="11">
        <f t="shared" si="9"/>
        <v>29.864834999999999</v>
      </c>
      <c r="M47" s="11">
        <f t="shared" si="10"/>
        <v>149.324175</v>
      </c>
    </row>
    <row r="48" spans="1:13" ht="30" x14ac:dyDescent="0.25">
      <c r="A48" s="182"/>
      <c r="B48" s="182"/>
      <c r="C48" s="14" t="s">
        <v>7</v>
      </c>
      <c r="D48" s="14" t="s">
        <v>8</v>
      </c>
      <c r="E48" s="14">
        <v>127</v>
      </c>
      <c r="F48" s="11">
        <f t="shared" si="6"/>
        <v>1.27</v>
      </c>
      <c r="G48" s="12">
        <f t="shared" si="7"/>
        <v>1.2667716600000001</v>
      </c>
      <c r="H48" s="11">
        <v>22</v>
      </c>
      <c r="I48" s="33">
        <v>1</v>
      </c>
      <c r="J48" s="33">
        <f t="shared" si="8"/>
        <v>5</v>
      </c>
      <c r="K48" s="11">
        <f t="shared" si="2"/>
        <v>6.3338583000000002</v>
      </c>
      <c r="L48" s="11">
        <f t="shared" si="9"/>
        <v>13.93448826</v>
      </c>
      <c r="M48" s="11">
        <f t="shared" si="10"/>
        <v>69.672441300000003</v>
      </c>
    </row>
    <row r="49" spans="1:13" ht="30" x14ac:dyDescent="0.25">
      <c r="A49" s="182"/>
      <c r="B49" s="182"/>
      <c r="C49" s="14" t="s">
        <v>7</v>
      </c>
      <c r="D49" s="14" t="s">
        <v>8</v>
      </c>
      <c r="E49" s="14">
        <v>200</v>
      </c>
      <c r="F49" s="11">
        <f t="shared" si="6"/>
        <v>2</v>
      </c>
      <c r="G49" s="12">
        <f t="shared" si="7"/>
        <v>3.1415999999999999</v>
      </c>
      <c r="H49" s="11">
        <v>22</v>
      </c>
      <c r="I49" s="33">
        <v>1</v>
      </c>
      <c r="J49" s="33">
        <f t="shared" si="8"/>
        <v>5</v>
      </c>
      <c r="K49" s="11">
        <f t="shared" si="2"/>
        <v>15.708</v>
      </c>
      <c r="L49" s="11">
        <f t="shared" si="9"/>
        <v>34.557600000000001</v>
      </c>
      <c r="M49" s="11">
        <f t="shared" si="10"/>
        <v>172.78800000000001</v>
      </c>
    </row>
    <row r="50" spans="1:13" ht="30" x14ac:dyDescent="0.25">
      <c r="A50" s="182"/>
      <c r="B50" s="182"/>
      <c r="C50" s="14" t="s">
        <v>7</v>
      </c>
      <c r="D50" s="14" t="s">
        <v>8</v>
      </c>
      <c r="E50" s="14">
        <v>147</v>
      </c>
      <c r="F50" s="11">
        <f t="shared" si="6"/>
        <v>1.47</v>
      </c>
      <c r="G50" s="12">
        <f t="shared" si="7"/>
        <v>1.6971708599999997</v>
      </c>
      <c r="H50" s="11">
        <v>22</v>
      </c>
      <c r="I50" s="33">
        <v>1</v>
      </c>
      <c r="J50" s="33">
        <f t="shared" si="8"/>
        <v>5</v>
      </c>
      <c r="K50" s="11">
        <f t="shared" si="2"/>
        <v>8.485854299999998</v>
      </c>
      <c r="L50" s="11">
        <f t="shared" si="9"/>
        <v>18.668879459999999</v>
      </c>
      <c r="M50" s="11">
        <f t="shared" si="10"/>
        <v>93.344397299999997</v>
      </c>
    </row>
    <row r="51" spans="1:13" ht="30" x14ac:dyDescent="0.25">
      <c r="A51" s="182"/>
      <c r="B51" s="182"/>
      <c r="C51" s="14" t="s">
        <v>7</v>
      </c>
      <c r="D51" s="14" t="s">
        <v>8</v>
      </c>
      <c r="E51" s="14">
        <v>121</v>
      </c>
      <c r="F51" s="11">
        <f t="shared" si="6"/>
        <v>1.21</v>
      </c>
      <c r="G51" s="12">
        <f t="shared" si="7"/>
        <v>1.1499041399999999</v>
      </c>
      <c r="H51" s="11">
        <v>22</v>
      </c>
      <c r="I51" s="33">
        <v>1</v>
      </c>
      <c r="J51" s="33">
        <f t="shared" si="8"/>
        <v>5</v>
      </c>
      <c r="K51" s="11">
        <f t="shared" si="2"/>
        <v>5.7495206999999997</v>
      </c>
      <c r="L51" s="11">
        <f t="shared" si="9"/>
        <v>12.64894554</v>
      </c>
      <c r="M51" s="11">
        <f t="shared" si="10"/>
        <v>63.244727699999999</v>
      </c>
    </row>
    <row r="52" spans="1:13" ht="30" x14ac:dyDescent="0.25">
      <c r="A52" s="182"/>
      <c r="B52" s="182"/>
      <c r="C52" s="14" t="s">
        <v>7</v>
      </c>
      <c r="D52" s="14" t="s">
        <v>8</v>
      </c>
      <c r="E52" s="14">
        <v>124</v>
      </c>
      <c r="F52" s="11">
        <f t="shared" si="6"/>
        <v>1.24</v>
      </c>
      <c r="G52" s="12">
        <f t="shared" si="7"/>
        <v>1.2076310400000001</v>
      </c>
      <c r="H52" s="11">
        <v>18</v>
      </c>
      <c r="I52" s="33">
        <v>1</v>
      </c>
      <c r="J52" s="33">
        <f t="shared" si="8"/>
        <v>5</v>
      </c>
      <c r="K52" s="11">
        <f t="shared" si="2"/>
        <v>6.0381552000000003</v>
      </c>
      <c r="L52" s="11">
        <f t="shared" si="9"/>
        <v>10.86867936</v>
      </c>
      <c r="M52" s="11">
        <f t="shared" si="10"/>
        <v>54.343396800000001</v>
      </c>
    </row>
    <row r="53" spans="1:13" ht="30" x14ac:dyDescent="0.25">
      <c r="A53" s="182"/>
      <c r="B53" s="182"/>
      <c r="C53" s="14" t="s">
        <v>7</v>
      </c>
      <c r="D53" s="14" t="s">
        <v>8</v>
      </c>
      <c r="E53" s="14">
        <v>220</v>
      </c>
      <c r="F53" s="11">
        <f t="shared" si="6"/>
        <v>2.2000000000000002</v>
      </c>
      <c r="G53" s="12">
        <f t="shared" si="7"/>
        <v>3.8013360000000005</v>
      </c>
      <c r="H53" s="11">
        <v>20</v>
      </c>
      <c r="I53" s="33">
        <v>1</v>
      </c>
      <c r="J53" s="33">
        <f t="shared" si="8"/>
        <v>5</v>
      </c>
      <c r="K53" s="11">
        <f t="shared" si="2"/>
        <v>19.006680000000003</v>
      </c>
      <c r="L53" s="11">
        <f t="shared" si="9"/>
        <v>38.013360000000006</v>
      </c>
      <c r="M53" s="11">
        <f t="shared" si="10"/>
        <v>190.06680000000003</v>
      </c>
    </row>
    <row r="54" spans="1:13" ht="30" x14ac:dyDescent="0.25">
      <c r="A54" s="182"/>
      <c r="B54" s="182"/>
      <c r="C54" s="14" t="s">
        <v>92</v>
      </c>
      <c r="D54" s="14" t="s">
        <v>93</v>
      </c>
      <c r="E54" s="14">
        <v>160</v>
      </c>
      <c r="F54" s="11">
        <f t="shared" si="6"/>
        <v>1.6</v>
      </c>
      <c r="G54" s="12">
        <f t="shared" si="7"/>
        <v>2.0106240000000004</v>
      </c>
      <c r="H54" s="11">
        <v>14</v>
      </c>
      <c r="I54" s="33">
        <v>1</v>
      </c>
      <c r="J54" s="33">
        <f t="shared" si="8"/>
        <v>5</v>
      </c>
      <c r="K54" s="11">
        <f t="shared" si="2"/>
        <v>10.053120000000002</v>
      </c>
      <c r="L54" s="11">
        <f t="shared" si="9"/>
        <v>14.074368000000002</v>
      </c>
      <c r="M54" s="11">
        <f t="shared" si="10"/>
        <v>70.371840000000006</v>
      </c>
    </row>
    <row r="55" spans="1:13" ht="30" x14ac:dyDescent="0.25">
      <c r="A55" s="182"/>
      <c r="B55" s="182"/>
      <c r="C55" s="14" t="s">
        <v>7</v>
      </c>
      <c r="D55" s="14" t="s">
        <v>8</v>
      </c>
      <c r="E55" s="14">
        <v>114</v>
      </c>
      <c r="F55" s="11">
        <f t="shared" si="6"/>
        <v>1.1399999999999999</v>
      </c>
      <c r="G55" s="12">
        <f t="shared" si="7"/>
        <v>1.02070584</v>
      </c>
      <c r="H55" s="11">
        <v>18</v>
      </c>
      <c r="I55" s="33">
        <v>1</v>
      </c>
      <c r="J55" s="33">
        <f t="shared" si="8"/>
        <v>5</v>
      </c>
      <c r="K55" s="11">
        <f t="shared" si="2"/>
        <v>5.1035291999999997</v>
      </c>
      <c r="L55" s="11">
        <f t="shared" si="9"/>
        <v>9.1863525599999996</v>
      </c>
      <c r="M55" s="11">
        <f t="shared" si="10"/>
        <v>45.931762800000001</v>
      </c>
    </row>
    <row r="56" spans="1:13" ht="30" x14ac:dyDescent="0.25">
      <c r="A56" s="182"/>
      <c r="B56" s="182"/>
      <c r="C56" s="14" t="s">
        <v>7</v>
      </c>
      <c r="D56" s="14" t="s">
        <v>8</v>
      </c>
      <c r="E56" s="14">
        <v>220</v>
      </c>
      <c r="F56" s="11">
        <f t="shared" si="6"/>
        <v>2.2000000000000002</v>
      </c>
      <c r="G56" s="12">
        <f t="shared" si="7"/>
        <v>3.8013360000000005</v>
      </c>
      <c r="H56" s="11">
        <v>25</v>
      </c>
      <c r="I56" s="33">
        <v>1</v>
      </c>
      <c r="J56" s="33">
        <f t="shared" si="8"/>
        <v>5</v>
      </c>
      <c r="K56" s="11">
        <f t="shared" si="2"/>
        <v>19.006680000000003</v>
      </c>
      <c r="L56" s="11">
        <f t="shared" si="9"/>
        <v>47.516700000000007</v>
      </c>
      <c r="M56" s="11">
        <f t="shared" si="10"/>
        <v>237.58350000000004</v>
      </c>
    </row>
    <row r="57" spans="1:13" ht="30" x14ac:dyDescent="0.25">
      <c r="A57" s="182"/>
      <c r="B57" s="182"/>
      <c r="C57" s="14" t="s">
        <v>94</v>
      </c>
      <c r="D57" s="14" t="s">
        <v>95</v>
      </c>
      <c r="E57" s="14">
        <v>142</v>
      </c>
      <c r="F57" s="11">
        <f t="shared" si="6"/>
        <v>1.42</v>
      </c>
      <c r="G57" s="12">
        <f t="shared" si="7"/>
        <v>1.5836805599999999</v>
      </c>
      <c r="H57" s="11">
        <v>15</v>
      </c>
      <c r="I57" s="33">
        <v>1</v>
      </c>
      <c r="J57" s="33">
        <f t="shared" si="8"/>
        <v>5</v>
      </c>
      <c r="K57" s="11">
        <f t="shared" si="2"/>
        <v>7.9184027999999991</v>
      </c>
      <c r="L57" s="11">
        <f t="shared" si="9"/>
        <v>11.877604199999999</v>
      </c>
      <c r="M57" s="11">
        <f t="shared" si="10"/>
        <v>59.388020999999995</v>
      </c>
    </row>
    <row r="58" spans="1:13" ht="30" x14ac:dyDescent="0.25">
      <c r="A58" s="182"/>
      <c r="B58" s="182"/>
      <c r="C58" s="14" t="s">
        <v>7</v>
      </c>
      <c r="D58" s="14" t="s">
        <v>8</v>
      </c>
      <c r="E58" s="14">
        <v>157</v>
      </c>
      <c r="F58" s="11">
        <f t="shared" si="6"/>
        <v>1.57</v>
      </c>
      <c r="G58" s="12">
        <f t="shared" si="7"/>
        <v>1.9359324600000001</v>
      </c>
      <c r="H58" s="11">
        <v>20</v>
      </c>
      <c r="I58" s="33">
        <v>1</v>
      </c>
      <c r="J58" s="33">
        <f t="shared" si="8"/>
        <v>5</v>
      </c>
      <c r="K58" s="11">
        <f t="shared" si="2"/>
        <v>9.6796623000000004</v>
      </c>
      <c r="L58" s="11">
        <f t="shared" si="9"/>
        <v>19.359324600000001</v>
      </c>
      <c r="M58" s="11">
        <f t="shared" si="10"/>
        <v>96.796623000000011</v>
      </c>
    </row>
  </sheetData>
  <mergeCells count="9">
    <mergeCell ref="A44:A58"/>
    <mergeCell ref="B44:B46"/>
    <mergeCell ref="B47:B58"/>
    <mergeCell ref="E1:M1"/>
    <mergeCell ref="A3:A32"/>
    <mergeCell ref="B3:B5"/>
    <mergeCell ref="B7:B31"/>
    <mergeCell ref="A34:A43"/>
    <mergeCell ref="B34:B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pane xSplit="2" ySplit="2" topLeftCell="C72" activePane="bottomRight" state="frozen"/>
      <selection pane="topRight" activeCell="C1" sqref="C1"/>
      <selection pane="bottomLeft" activeCell="A3" sqref="A3"/>
      <selection pane="bottomRight" activeCell="O4" sqref="O4"/>
    </sheetView>
  </sheetViews>
  <sheetFormatPr defaultRowHeight="15" x14ac:dyDescent="0.25"/>
  <cols>
    <col min="1" max="1" width="9.85546875" style="13" bestFit="1" customWidth="1"/>
    <col min="2" max="2" width="9.140625" style="13" customWidth="1"/>
    <col min="3" max="3" width="13.5703125" style="13" bestFit="1" customWidth="1"/>
    <col min="4" max="4" width="13.7109375" style="13" bestFit="1" customWidth="1"/>
    <col min="5" max="5" width="11.42578125" style="13" bestFit="1" customWidth="1"/>
    <col min="6" max="6" width="9.28515625" style="1" bestFit="1" customWidth="1"/>
    <col min="7" max="7" width="10.7109375" style="1" bestFit="1" customWidth="1"/>
    <col min="8" max="8" width="11.42578125" style="13" bestFit="1" customWidth="1"/>
    <col min="9" max="9" width="8.7109375" style="1" bestFit="1" customWidth="1"/>
    <col min="10" max="10" width="15.85546875" style="1" bestFit="1" customWidth="1"/>
    <col min="11" max="11" width="14.7109375" style="1" bestFit="1" customWidth="1"/>
    <col min="12" max="12" width="12.7109375" style="1" bestFit="1" customWidth="1"/>
    <col min="13" max="13" width="12.5703125" style="1" bestFit="1" customWidth="1"/>
    <col min="14" max="16384" width="9.140625" style="13"/>
  </cols>
  <sheetData>
    <row r="1" spans="1:13" x14ac:dyDescent="0.25">
      <c r="A1" s="16"/>
      <c r="B1" s="16"/>
      <c r="C1" s="16"/>
      <c r="D1" s="16"/>
      <c r="E1" s="198" t="s">
        <v>34</v>
      </c>
      <c r="F1" s="198"/>
      <c r="G1" s="198"/>
      <c r="H1" s="198"/>
      <c r="I1" s="198"/>
      <c r="J1" s="198"/>
      <c r="K1" s="198"/>
      <c r="L1" s="198"/>
      <c r="M1" s="198"/>
    </row>
    <row r="2" spans="1:13" ht="45" x14ac:dyDescent="0.25">
      <c r="A2" s="18" t="s">
        <v>23</v>
      </c>
      <c r="B2" s="18" t="s">
        <v>24</v>
      </c>
      <c r="C2" s="8" t="s">
        <v>4</v>
      </c>
      <c r="D2" s="8" t="s">
        <v>5</v>
      </c>
      <c r="E2" s="8" t="s">
        <v>25</v>
      </c>
      <c r="F2" s="8" t="s">
        <v>26</v>
      </c>
      <c r="G2" s="8" t="s">
        <v>27</v>
      </c>
      <c r="H2" s="8" t="s">
        <v>28</v>
      </c>
      <c r="I2" s="8" t="s">
        <v>29</v>
      </c>
      <c r="J2" s="8" t="s">
        <v>30</v>
      </c>
      <c r="K2" s="8" t="s">
        <v>146</v>
      </c>
      <c r="L2" s="8" t="s">
        <v>142</v>
      </c>
      <c r="M2" s="8" t="s">
        <v>31</v>
      </c>
    </row>
    <row r="3" spans="1:13" ht="30" x14ac:dyDescent="0.25">
      <c r="A3" s="198" t="s">
        <v>32</v>
      </c>
      <c r="B3" s="198" t="s">
        <v>6</v>
      </c>
      <c r="C3" s="14" t="s">
        <v>7</v>
      </c>
      <c r="D3" s="14" t="s">
        <v>8</v>
      </c>
      <c r="E3" s="14">
        <v>25</v>
      </c>
      <c r="F3" s="11">
        <f>E3/100</f>
        <v>0.25</v>
      </c>
      <c r="G3" s="12">
        <f>F3*F3*3.1416/4</f>
        <v>4.9087499999999999E-2</v>
      </c>
      <c r="H3" s="11">
        <v>20</v>
      </c>
      <c r="I3" s="33">
        <v>1</v>
      </c>
      <c r="J3" s="11">
        <f>I3*10000/314.16</f>
        <v>31.830914183855359</v>
      </c>
      <c r="K3" s="11">
        <f>G3*J3</f>
        <v>1.5625</v>
      </c>
      <c r="L3" s="11">
        <f t="shared" ref="L3:L40" si="0">F3*F3*H3*0.5*3.1416/4</f>
        <v>0.49087500000000001</v>
      </c>
      <c r="M3" s="11">
        <f>L3*J3</f>
        <v>15.625</v>
      </c>
    </row>
    <row r="4" spans="1:13" ht="30" x14ac:dyDescent="0.25">
      <c r="A4" s="198"/>
      <c r="B4" s="198"/>
      <c r="C4" s="14" t="s">
        <v>7</v>
      </c>
      <c r="D4" s="14" t="s">
        <v>8</v>
      </c>
      <c r="E4" s="14">
        <v>18</v>
      </c>
      <c r="F4" s="11">
        <f t="shared" ref="F4:F67" si="1">E4/100</f>
        <v>0.18</v>
      </c>
      <c r="G4" s="12">
        <f t="shared" ref="G4:G67" si="2">F4*F4*3.1416/4</f>
        <v>2.5446959999999998E-2</v>
      </c>
      <c r="H4" s="11">
        <v>18</v>
      </c>
      <c r="I4" s="33">
        <v>1</v>
      </c>
      <c r="J4" s="11">
        <f t="shared" ref="J4:J67" si="3">I4*10000/314.16</f>
        <v>31.830914183855359</v>
      </c>
      <c r="K4" s="11">
        <f t="shared" ref="K4:K67" si="4">G4*J4</f>
        <v>0.80999999999999994</v>
      </c>
      <c r="L4" s="11">
        <f t="shared" si="0"/>
        <v>0.22902263999999997</v>
      </c>
      <c r="M4" s="11">
        <f t="shared" ref="M4:M67" si="5">L4*J4</f>
        <v>7.2899999999999991</v>
      </c>
    </row>
    <row r="5" spans="1:13" ht="30" x14ac:dyDescent="0.25">
      <c r="A5" s="198"/>
      <c r="B5" s="198"/>
      <c r="C5" s="14" t="s">
        <v>7</v>
      </c>
      <c r="D5" s="14" t="s">
        <v>8</v>
      </c>
      <c r="E5" s="14">
        <v>20</v>
      </c>
      <c r="F5" s="11">
        <f t="shared" si="1"/>
        <v>0.2</v>
      </c>
      <c r="G5" s="12">
        <f t="shared" si="2"/>
        <v>3.1416000000000006E-2</v>
      </c>
      <c r="H5" s="11">
        <v>19</v>
      </c>
      <c r="I5" s="33">
        <v>1</v>
      </c>
      <c r="J5" s="11">
        <f t="shared" si="3"/>
        <v>31.830914183855359</v>
      </c>
      <c r="K5" s="11">
        <f t="shared" si="4"/>
        <v>1.0000000000000002</v>
      </c>
      <c r="L5" s="11">
        <f t="shared" si="0"/>
        <v>0.29845200000000005</v>
      </c>
      <c r="M5" s="11">
        <f t="shared" si="5"/>
        <v>9.5000000000000018</v>
      </c>
    </row>
    <row r="6" spans="1:13" ht="60" customHeight="1" x14ac:dyDescent="0.25">
      <c r="A6" s="198"/>
      <c r="B6" s="198"/>
      <c r="C6" s="14" t="s">
        <v>7</v>
      </c>
      <c r="D6" s="14" t="s">
        <v>8</v>
      </c>
      <c r="E6" s="14">
        <v>22</v>
      </c>
      <c r="F6" s="11">
        <f t="shared" si="1"/>
        <v>0.22</v>
      </c>
      <c r="G6" s="12">
        <f t="shared" si="2"/>
        <v>3.8013359999999996E-2</v>
      </c>
      <c r="H6" s="11">
        <v>19</v>
      </c>
      <c r="I6" s="33">
        <v>1</v>
      </c>
      <c r="J6" s="11">
        <f t="shared" si="3"/>
        <v>31.830914183855359</v>
      </c>
      <c r="K6" s="11">
        <f t="shared" si="4"/>
        <v>1.2099999999999997</v>
      </c>
      <c r="L6" s="11">
        <f t="shared" si="0"/>
        <v>0.36112691999999996</v>
      </c>
      <c r="M6" s="11">
        <f t="shared" si="5"/>
        <v>11.494999999999999</v>
      </c>
    </row>
    <row r="7" spans="1:13" ht="60" customHeight="1" x14ac:dyDescent="0.25">
      <c r="A7" s="198"/>
      <c r="B7" s="198"/>
      <c r="C7" s="14" t="s">
        <v>7</v>
      </c>
      <c r="D7" s="14" t="s">
        <v>8</v>
      </c>
      <c r="E7" s="14">
        <v>18</v>
      </c>
      <c r="F7" s="11">
        <f t="shared" si="1"/>
        <v>0.18</v>
      </c>
      <c r="G7" s="12">
        <f t="shared" si="2"/>
        <v>2.5446959999999998E-2</v>
      </c>
      <c r="H7" s="11">
        <v>19</v>
      </c>
      <c r="I7" s="33">
        <v>1</v>
      </c>
      <c r="J7" s="11">
        <f t="shared" si="3"/>
        <v>31.830914183855359</v>
      </c>
      <c r="K7" s="11">
        <f t="shared" si="4"/>
        <v>0.80999999999999994</v>
      </c>
      <c r="L7" s="11">
        <f t="shared" si="0"/>
        <v>0.24174611999999995</v>
      </c>
      <c r="M7" s="11">
        <f t="shared" si="5"/>
        <v>7.6949999999999985</v>
      </c>
    </row>
    <row r="8" spans="1:13" ht="60" customHeight="1" x14ac:dyDescent="0.25">
      <c r="A8" s="198"/>
      <c r="B8" s="198"/>
      <c r="C8" s="14" t="s">
        <v>7</v>
      </c>
      <c r="D8" s="14" t="s">
        <v>8</v>
      </c>
      <c r="E8" s="14">
        <v>19</v>
      </c>
      <c r="F8" s="11">
        <f t="shared" si="1"/>
        <v>0.19</v>
      </c>
      <c r="G8" s="12">
        <f t="shared" si="2"/>
        <v>2.835294E-2</v>
      </c>
      <c r="H8" s="11">
        <v>20</v>
      </c>
      <c r="I8" s="33">
        <v>1</v>
      </c>
      <c r="J8" s="11">
        <f t="shared" si="3"/>
        <v>31.830914183855359</v>
      </c>
      <c r="K8" s="11">
        <f t="shared" si="4"/>
        <v>0.90249999999999997</v>
      </c>
      <c r="L8" s="11">
        <f t="shared" si="0"/>
        <v>0.28352939999999999</v>
      </c>
      <c r="M8" s="11">
        <f t="shared" si="5"/>
        <v>9.0249999999999986</v>
      </c>
    </row>
    <row r="9" spans="1:13" ht="60" customHeight="1" x14ac:dyDescent="0.25">
      <c r="A9" s="198"/>
      <c r="B9" s="198"/>
      <c r="C9" s="14" t="s">
        <v>7</v>
      </c>
      <c r="D9" s="14" t="s">
        <v>8</v>
      </c>
      <c r="E9" s="14">
        <v>21</v>
      </c>
      <c r="F9" s="11">
        <f t="shared" si="1"/>
        <v>0.21</v>
      </c>
      <c r="G9" s="12">
        <f t="shared" si="2"/>
        <v>3.4636139999999996E-2</v>
      </c>
      <c r="H9" s="11">
        <v>20</v>
      </c>
      <c r="I9" s="33">
        <v>1</v>
      </c>
      <c r="J9" s="11">
        <f t="shared" si="3"/>
        <v>31.830914183855359</v>
      </c>
      <c r="K9" s="11">
        <f t="shared" si="4"/>
        <v>1.1024999999999998</v>
      </c>
      <c r="L9" s="11">
        <f t="shared" si="0"/>
        <v>0.34636139999999993</v>
      </c>
      <c r="M9" s="11">
        <f t="shared" si="5"/>
        <v>11.024999999999997</v>
      </c>
    </row>
    <row r="10" spans="1:13" ht="60" customHeight="1" x14ac:dyDescent="0.25">
      <c r="A10" s="198"/>
      <c r="B10" s="198"/>
      <c r="C10" s="14" t="s">
        <v>7</v>
      </c>
      <c r="D10" s="14" t="s">
        <v>8</v>
      </c>
      <c r="E10" s="14">
        <v>23</v>
      </c>
      <c r="F10" s="11">
        <f t="shared" si="1"/>
        <v>0.23</v>
      </c>
      <c r="G10" s="12">
        <f t="shared" si="2"/>
        <v>4.154766E-2</v>
      </c>
      <c r="H10" s="11">
        <v>21</v>
      </c>
      <c r="I10" s="33">
        <v>1</v>
      </c>
      <c r="J10" s="11">
        <f t="shared" si="3"/>
        <v>31.830914183855359</v>
      </c>
      <c r="K10" s="11">
        <f t="shared" si="4"/>
        <v>1.3225</v>
      </c>
      <c r="L10" s="11">
        <f t="shared" si="0"/>
        <v>0.43625042999999997</v>
      </c>
      <c r="M10" s="11">
        <f t="shared" si="5"/>
        <v>13.886249999999999</v>
      </c>
    </row>
    <row r="11" spans="1:13" ht="60" customHeight="1" x14ac:dyDescent="0.25">
      <c r="A11" s="198"/>
      <c r="B11" s="198"/>
      <c r="C11" s="14" t="s">
        <v>7</v>
      </c>
      <c r="D11" s="14" t="s">
        <v>8</v>
      </c>
      <c r="E11" s="14">
        <v>25</v>
      </c>
      <c r="F11" s="11">
        <f t="shared" si="1"/>
        <v>0.25</v>
      </c>
      <c r="G11" s="12">
        <f t="shared" si="2"/>
        <v>4.9087499999999999E-2</v>
      </c>
      <c r="H11" s="11">
        <v>23</v>
      </c>
      <c r="I11" s="33">
        <v>1</v>
      </c>
      <c r="J11" s="11">
        <f t="shared" si="3"/>
        <v>31.830914183855359</v>
      </c>
      <c r="K11" s="11">
        <f t="shared" si="4"/>
        <v>1.5625</v>
      </c>
      <c r="L11" s="11">
        <f t="shared" si="0"/>
        <v>0.56450624999999999</v>
      </c>
      <c r="M11" s="11">
        <f t="shared" si="5"/>
        <v>17.96875</v>
      </c>
    </row>
    <row r="12" spans="1:13" ht="60" customHeight="1" x14ac:dyDescent="0.25">
      <c r="A12" s="198"/>
      <c r="B12" s="198"/>
      <c r="C12" s="14" t="s">
        <v>7</v>
      </c>
      <c r="D12" s="14" t="s">
        <v>8</v>
      </c>
      <c r="E12" s="14">
        <v>28</v>
      </c>
      <c r="F12" s="11">
        <f t="shared" si="1"/>
        <v>0.28000000000000003</v>
      </c>
      <c r="G12" s="12">
        <f t="shared" si="2"/>
        <v>6.157536000000001E-2</v>
      </c>
      <c r="H12" s="11">
        <v>22</v>
      </c>
      <c r="I12" s="33">
        <v>1</v>
      </c>
      <c r="J12" s="11">
        <f t="shared" si="3"/>
        <v>31.830914183855359</v>
      </c>
      <c r="K12" s="11">
        <f t="shared" si="4"/>
        <v>1.9600000000000002</v>
      </c>
      <c r="L12" s="11">
        <f t="shared" si="0"/>
        <v>0.67732896000000009</v>
      </c>
      <c r="M12" s="11">
        <f t="shared" si="5"/>
        <v>21.560000000000002</v>
      </c>
    </row>
    <row r="13" spans="1:13" ht="60" customHeight="1" x14ac:dyDescent="0.25">
      <c r="A13" s="198"/>
      <c r="B13" s="198"/>
      <c r="C13" s="14" t="s">
        <v>7</v>
      </c>
      <c r="D13" s="14" t="s">
        <v>8</v>
      </c>
      <c r="E13" s="14">
        <v>25</v>
      </c>
      <c r="F13" s="11">
        <f t="shared" si="1"/>
        <v>0.25</v>
      </c>
      <c r="G13" s="12">
        <f t="shared" si="2"/>
        <v>4.9087499999999999E-2</v>
      </c>
      <c r="H13" s="11">
        <v>19</v>
      </c>
      <c r="I13" s="33">
        <v>1</v>
      </c>
      <c r="J13" s="11">
        <f t="shared" si="3"/>
        <v>31.830914183855359</v>
      </c>
      <c r="K13" s="11">
        <f t="shared" si="4"/>
        <v>1.5625</v>
      </c>
      <c r="L13" s="11">
        <f t="shared" si="0"/>
        <v>0.46633124999999997</v>
      </c>
      <c r="M13" s="11">
        <f t="shared" si="5"/>
        <v>14.843749999999998</v>
      </c>
    </row>
    <row r="14" spans="1:13" ht="60" customHeight="1" x14ac:dyDescent="0.25">
      <c r="A14" s="198"/>
      <c r="B14" s="198"/>
      <c r="C14" s="14" t="s">
        <v>7</v>
      </c>
      <c r="D14" s="14" t="s">
        <v>8</v>
      </c>
      <c r="E14" s="14">
        <v>26</v>
      </c>
      <c r="F14" s="11">
        <f t="shared" si="1"/>
        <v>0.26</v>
      </c>
      <c r="G14" s="12">
        <f t="shared" si="2"/>
        <v>5.3093040000000008E-2</v>
      </c>
      <c r="H14" s="11">
        <v>20</v>
      </c>
      <c r="I14" s="33">
        <v>1</v>
      </c>
      <c r="J14" s="11">
        <f t="shared" si="3"/>
        <v>31.830914183855359</v>
      </c>
      <c r="K14" s="11">
        <f t="shared" si="4"/>
        <v>1.6900000000000002</v>
      </c>
      <c r="L14" s="11">
        <f t="shared" si="0"/>
        <v>0.53093040000000002</v>
      </c>
      <c r="M14" s="11">
        <f t="shared" si="5"/>
        <v>16.899999999999999</v>
      </c>
    </row>
    <row r="15" spans="1:13" ht="60" customHeight="1" x14ac:dyDescent="0.25">
      <c r="A15" s="198"/>
      <c r="B15" s="198"/>
      <c r="C15" s="14" t="s">
        <v>7</v>
      </c>
      <c r="D15" s="14" t="s">
        <v>8</v>
      </c>
      <c r="E15" s="14">
        <v>22</v>
      </c>
      <c r="F15" s="11">
        <f t="shared" si="1"/>
        <v>0.22</v>
      </c>
      <c r="G15" s="12">
        <f t="shared" si="2"/>
        <v>3.8013359999999996E-2</v>
      </c>
      <c r="H15" s="11">
        <v>18</v>
      </c>
      <c r="I15" s="33">
        <v>1</v>
      </c>
      <c r="J15" s="11">
        <f t="shared" si="3"/>
        <v>31.830914183855359</v>
      </c>
      <c r="K15" s="11">
        <f t="shared" si="4"/>
        <v>1.2099999999999997</v>
      </c>
      <c r="L15" s="11">
        <f t="shared" si="0"/>
        <v>0.34212023999999996</v>
      </c>
      <c r="M15" s="11">
        <f t="shared" si="5"/>
        <v>10.889999999999999</v>
      </c>
    </row>
    <row r="16" spans="1:13" ht="60" customHeight="1" x14ac:dyDescent="0.25">
      <c r="A16" s="198"/>
      <c r="B16" s="198"/>
      <c r="C16" s="14" t="s">
        <v>7</v>
      </c>
      <c r="D16" s="14" t="s">
        <v>8</v>
      </c>
      <c r="E16" s="14">
        <v>19</v>
      </c>
      <c r="F16" s="11">
        <f t="shared" si="1"/>
        <v>0.19</v>
      </c>
      <c r="G16" s="12">
        <f t="shared" si="2"/>
        <v>2.835294E-2</v>
      </c>
      <c r="H16" s="11">
        <v>18</v>
      </c>
      <c r="I16" s="33">
        <v>1</v>
      </c>
      <c r="J16" s="11">
        <f t="shared" si="3"/>
        <v>31.830914183855359</v>
      </c>
      <c r="K16" s="11">
        <f t="shared" si="4"/>
        <v>0.90249999999999997</v>
      </c>
      <c r="L16" s="11">
        <f t="shared" si="0"/>
        <v>0.25517645999999999</v>
      </c>
      <c r="M16" s="11">
        <f t="shared" si="5"/>
        <v>8.1224999999999987</v>
      </c>
    </row>
    <row r="17" spans="1:13" ht="30" x14ac:dyDescent="0.25">
      <c r="A17" s="198"/>
      <c r="B17" s="198"/>
      <c r="C17" s="14" t="s">
        <v>9</v>
      </c>
      <c r="D17" s="14" t="s">
        <v>10</v>
      </c>
      <c r="E17" s="14">
        <v>19</v>
      </c>
      <c r="F17" s="11">
        <f t="shared" si="1"/>
        <v>0.19</v>
      </c>
      <c r="G17" s="12">
        <f t="shared" si="2"/>
        <v>2.835294E-2</v>
      </c>
      <c r="H17" s="11">
        <v>18</v>
      </c>
      <c r="I17" s="33">
        <v>1</v>
      </c>
      <c r="J17" s="11">
        <f t="shared" si="3"/>
        <v>31.830914183855359</v>
      </c>
      <c r="K17" s="11">
        <f t="shared" si="4"/>
        <v>0.90249999999999997</v>
      </c>
      <c r="L17" s="11">
        <f t="shared" si="0"/>
        <v>0.25517645999999999</v>
      </c>
      <c r="M17" s="11">
        <f t="shared" si="5"/>
        <v>8.1224999999999987</v>
      </c>
    </row>
    <row r="18" spans="1:13" ht="30" x14ac:dyDescent="0.25">
      <c r="A18" s="198"/>
      <c r="B18" s="198"/>
      <c r="C18" s="14" t="s">
        <v>9</v>
      </c>
      <c r="D18" s="14" t="s">
        <v>10</v>
      </c>
      <c r="E18" s="14">
        <v>22</v>
      </c>
      <c r="F18" s="11">
        <f t="shared" si="1"/>
        <v>0.22</v>
      </c>
      <c r="G18" s="12">
        <f t="shared" si="2"/>
        <v>3.8013359999999996E-2</v>
      </c>
      <c r="H18" s="11">
        <v>20</v>
      </c>
      <c r="I18" s="33">
        <v>1</v>
      </c>
      <c r="J18" s="11">
        <f t="shared" si="3"/>
        <v>31.830914183855359</v>
      </c>
      <c r="K18" s="11">
        <f t="shared" si="4"/>
        <v>1.2099999999999997</v>
      </c>
      <c r="L18" s="11">
        <f t="shared" si="0"/>
        <v>0.38013359999999996</v>
      </c>
      <c r="M18" s="11">
        <f t="shared" si="5"/>
        <v>12.099999999999998</v>
      </c>
    </row>
    <row r="19" spans="1:13" ht="30" x14ac:dyDescent="0.25">
      <c r="A19" s="198"/>
      <c r="B19" s="198"/>
      <c r="C19" s="14" t="s">
        <v>9</v>
      </c>
      <c r="D19" s="14" t="s">
        <v>10</v>
      </c>
      <c r="E19" s="14">
        <v>22</v>
      </c>
      <c r="F19" s="11">
        <f t="shared" si="1"/>
        <v>0.22</v>
      </c>
      <c r="G19" s="12">
        <f t="shared" si="2"/>
        <v>3.8013359999999996E-2</v>
      </c>
      <c r="H19" s="11">
        <v>20</v>
      </c>
      <c r="I19" s="33">
        <v>1</v>
      </c>
      <c r="J19" s="11">
        <f t="shared" si="3"/>
        <v>31.830914183855359</v>
      </c>
      <c r="K19" s="11">
        <f t="shared" si="4"/>
        <v>1.2099999999999997</v>
      </c>
      <c r="L19" s="11">
        <f t="shared" si="0"/>
        <v>0.38013359999999996</v>
      </c>
      <c r="M19" s="11">
        <f t="shared" si="5"/>
        <v>12.099999999999998</v>
      </c>
    </row>
    <row r="20" spans="1:13" ht="30" x14ac:dyDescent="0.25">
      <c r="A20" s="198"/>
      <c r="B20" s="198"/>
      <c r="C20" s="14" t="s">
        <v>9</v>
      </c>
      <c r="D20" s="14" t="s">
        <v>10</v>
      </c>
      <c r="E20" s="14">
        <v>19</v>
      </c>
      <c r="F20" s="11">
        <f t="shared" si="1"/>
        <v>0.19</v>
      </c>
      <c r="G20" s="12">
        <f t="shared" si="2"/>
        <v>2.835294E-2</v>
      </c>
      <c r="H20" s="11">
        <v>20</v>
      </c>
      <c r="I20" s="33">
        <v>1</v>
      </c>
      <c r="J20" s="11">
        <f t="shared" si="3"/>
        <v>31.830914183855359</v>
      </c>
      <c r="K20" s="11">
        <f t="shared" si="4"/>
        <v>0.90249999999999997</v>
      </c>
      <c r="L20" s="11">
        <f t="shared" si="0"/>
        <v>0.28352939999999999</v>
      </c>
      <c r="M20" s="11">
        <f t="shared" si="5"/>
        <v>9.0249999999999986</v>
      </c>
    </row>
    <row r="21" spans="1:13" ht="30" x14ac:dyDescent="0.25">
      <c r="A21" s="198"/>
      <c r="B21" s="198"/>
      <c r="C21" s="14" t="s">
        <v>9</v>
      </c>
      <c r="D21" s="14" t="s">
        <v>10</v>
      </c>
      <c r="E21" s="14">
        <v>19</v>
      </c>
      <c r="F21" s="11">
        <f t="shared" si="1"/>
        <v>0.19</v>
      </c>
      <c r="G21" s="12">
        <f t="shared" si="2"/>
        <v>2.835294E-2</v>
      </c>
      <c r="H21" s="11">
        <v>19</v>
      </c>
      <c r="I21" s="33">
        <v>1</v>
      </c>
      <c r="J21" s="11">
        <f t="shared" si="3"/>
        <v>31.830914183855359</v>
      </c>
      <c r="K21" s="11">
        <f t="shared" si="4"/>
        <v>0.90249999999999997</v>
      </c>
      <c r="L21" s="11">
        <f t="shared" si="0"/>
        <v>0.26935292999999999</v>
      </c>
      <c r="M21" s="11">
        <f t="shared" si="5"/>
        <v>8.5737499999999986</v>
      </c>
    </row>
    <row r="22" spans="1:13" ht="30" x14ac:dyDescent="0.25">
      <c r="A22" s="198"/>
      <c r="B22" s="198"/>
      <c r="C22" s="14" t="s">
        <v>9</v>
      </c>
      <c r="D22" s="14" t="s">
        <v>10</v>
      </c>
      <c r="E22" s="14">
        <v>20</v>
      </c>
      <c r="F22" s="11">
        <f t="shared" si="1"/>
        <v>0.2</v>
      </c>
      <c r="G22" s="12">
        <f t="shared" si="2"/>
        <v>3.1416000000000006E-2</v>
      </c>
      <c r="H22" s="11">
        <v>18</v>
      </c>
      <c r="I22" s="33">
        <v>1</v>
      </c>
      <c r="J22" s="11">
        <f t="shared" si="3"/>
        <v>31.830914183855359</v>
      </c>
      <c r="K22" s="11">
        <f t="shared" si="4"/>
        <v>1.0000000000000002</v>
      </c>
      <c r="L22" s="11">
        <f t="shared" si="0"/>
        <v>0.28274400000000005</v>
      </c>
      <c r="M22" s="11">
        <f t="shared" si="5"/>
        <v>9.0000000000000018</v>
      </c>
    </row>
    <row r="23" spans="1:13" ht="30" x14ac:dyDescent="0.25">
      <c r="A23" s="198"/>
      <c r="B23" s="198"/>
      <c r="C23" s="14" t="s">
        <v>9</v>
      </c>
      <c r="D23" s="14" t="s">
        <v>10</v>
      </c>
      <c r="E23" s="14">
        <v>22</v>
      </c>
      <c r="F23" s="11">
        <f t="shared" si="1"/>
        <v>0.22</v>
      </c>
      <c r="G23" s="12">
        <f t="shared" si="2"/>
        <v>3.8013359999999996E-2</v>
      </c>
      <c r="H23" s="11">
        <v>19</v>
      </c>
      <c r="I23" s="33">
        <v>1</v>
      </c>
      <c r="J23" s="11">
        <f t="shared" si="3"/>
        <v>31.830914183855359</v>
      </c>
      <c r="K23" s="11">
        <f t="shared" si="4"/>
        <v>1.2099999999999997</v>
      </c>
      <c r="L23" s="11">
        <f t="shared" si="0"/>
        <v>0.36112691999999996</v>
      </c>
      <c r="M23" s="11">
        <f t="shared" si="5"/>
        <v>11.494999999999999</v>
      </c>
    </row>
    <row r="24" spans="1:13" ht="30" x14ac:dyDescent="0.25">
      <c r="A24" s="198"/>
      <c r="B24" s="198" t="s">
        <v>11</v>
      </c>
      <c r="C24" s="14" t="s">
        <v>12</v>
      </c>
      <c r="D24" s="14" t="s">
        <v>13</v>
      </c>
      <c r="E24" s="14">
        <v>21</v>
      </c>
      <c r="F24" s="11">
        <f t="shared" si="1"/>
        <v>0.21</v>
      </c>
      <c r="G24" s="12">
        <f t="shared" si="2"/>
        <v>3.4636139999999996E-2</v>
      </c>
      <c r="H24" s="11">
        <v>18</v>
      </c>
      <c r="I24" s="33">
        <v>1</v>
      </c>
      <c r="J24" s="11">
        <f t="shared" si="3"/>
        <v>31.830914183855359</v>
      </c>
      <c r="K24" s="11">
        <f t="shared" si="4"/>
        <v>1.1024999999999998</v>
      </c>
      <c r="L24" s="11">
        <f t="shared" si="0"/>
        <v>0.31172525999999995</v>
      </c>
      <c r="M24" s="11">
        <f t="shared" si="5"/>
        <v>9.9224999999999977</v>
      </c>
    </row>
    <row r="25" spans="1:13" ht="30" x14ac:dyDescent="0.25">
      <c r="A25" s="198"/>
      <c r="B25" s="198"/>
      <c r="C25" s="14" t="s">
        <v>12</v>
      </c>
      <c r="D25" s="14" t="s">
        <v>13</v>
      </c>
      <c r="E25" s="14">
        <v>23</v>
      </c>
      <c r="F25" s="11">
        <f t="shared" si="1"/>
        <v>0.23</v>
      </c>
      <c r="G25" s="12">
        <f t="shared" si="2"/>
        <v>4.154766E-2</v>
      </c>
      <c r="H25" s="11">
        <v>20</v>
      </c>
      <c r="I25" s="33">
        <v>1</v>
      </c>
      <c r="J25" s="11">
        <f t="shared" si="3"/>
        <v>31.830914183855359</v>
      </c>
      <c r="K25" s="11">
        <f t="shared" si="4"/>
        <v>1.3225</v>
      </c>
      <c r="L25" s="11">
        <f t="shared" si="0"/>
        <v>0.41547660000000003</v>
      </c>
      <c r="M25" s="11">
        <f t="shared" si="5"/>
        <v>13.225</v>
      </c>
    </row>
    <row r="26" spans="1:13" ht="30" x14ac:dyDescent="0.25">
      <c r="A26" s="198"/>
      <c r="B26" s="198"/>
      <c r="C26" s="14" t="s">
        <v>12</v>
      </c>
      <c r="D26" s="14" t="s">
        <v>13</v>
      </c>
      <c r="E26" s="14">
        <v>27</v>
      </c>
      <c r="F26" s="11">
        <f t="shared" si="1"/>
        <v>0.27</v>
      </c>
      <c r="G26" s="12">
        <f t="shared" si="2"/>
        <v>5.7255660000000007E-2</v>
      </c>
      <c r="H26" s="11">
        <v>19</v>
      </c>
      <c r="I26" s="33">
        <v>1</v>
      </c>
      <c r="J26" s="11">
        <f t="shared" si="3"/>
        <v>31.830914183855359</v>
      </c>
      <c r="K26" s="11">
        <f t="shared" si="4"/>
        <v>1.8225000000000002</v>
      </c>
      <c r="L26" s="11">
        <f t="shared" si="0"/>
        <v>0.54392877000000006</v>
      </c>
      <c r="M26" s="11">
        <f t="shared" si="5"/>
        <v>17.313750000000002</v>
      </c>
    </row>
    <row r="27" spans="1:13" ht="30" x14ac:dyDescent="0.25">
      <c r="A27" s="198"/>
      <c r="B27" s="198"/>
      <c r="C27" s="14" t="s">
        <v>12</v>
      </c>
      <c r="D27" s="14" t="s">
        <v>13</v>
      </c>
      <c r="E27" s="14">
        <v>19</v>
      </c>
      <c r="F27" s="11">
        <f t="shared" si="1"/>
        <v>0.19</v>
      </c>
      <c r="G27" s="12">
        <f t="shared" si="2"/>
        <v>2.835294E-2</v>
      </c>
      <c r="H27" s="11">
        <v>20</v>
      </c>
      <c r="I27" s="33">
        <v>1</v>
      </c>
      <c r="J27" s="11">
        <f t="shared" si="3"/>
        <v>31.830914183855359</v>
      </c>
      <c r="K27" s="11">
        <f t="shared" si="4"/>
        <v>0.90249999999999997</v>
      </c>
      <c r="L27" s="11">
        <f t="shared" si="0"/>
        <v>0.28352939999999999</v>
      </c>
      <c r="M27" s="11">
        <f t="shared" si="5"/>
        <v>9.0249999999999986</v>
      </c>
    </row>
    <row r="28" spans="1:13" ht="30" x14ac:dyDescent="0.25">
      <c r="A28" s="198"/>
      <c r="B28" s="198"/>
      <c r="C28" s="14" t="s">
        <v>12</v>
      </c>
      <c r="D28" s="14" t="s">
        <v>13</v>
      </c>
      <c r="E28" s="14">
        <v>22</v>
      </c>
      <c r="F28" s="11">
        <f t="shared" si="1"/>
        <v>0.22</v>
      </c>
      <c r="G28" s="12">
        <f t="shared" si="2"/>
        <v>3.8013359999999996E-2</v>
      </c>
      <c r="H28" s="11">
        <v>18</v>
      </c>
      <c r="I28" s="33">
        <v>1</v>
      </c>
      <c r="J28" s="11">
        <f t="shared" si="3"/>
        <v>31.830914183855359</v>
      </c>
      <c r="K28" s="11">
        <f t="shared" si="4"/>
        <v>1.2099999999999997</v>
      </c>
      <c r="L28" s="11">
        <f t="shared" si="0"/>
        <v>0.34212023999999996</v>
      </c>
      <c r="M28" s="11">
        <f t="shared" si="5"/>
        <v>10.889999999999999</v>
      </c>
    </row>
    <row r="29" spans="1:13" ht="30" x14ac:dyDescent="0.25">
      <c r="A29" s="198"/>
      <c r="B29" s="198"/>
      <c r="C29" s="14" t="s">
        <v>12</v>
      </c>
      <c r="D29" s="14" t="s">
        <v>13</v>
      </c>
      <c r="E29" s="14">
        <v>24</v>
      </c>
      <c r="F29" s="11">
        <f t="shared" si="1"/>
        <v>0.24</v>
      </c>
      <c r="G29" s="12">
        <f t="shared" si="2"/>
        <v>4.5239040000000001E-2</v>
      </c>
      <c r="H29" s="11">
        <v>20</v>
      </c>
      <c r="I29" s="33">
        <v>1</v>
      </c>
      <c r="J29" s="11">
        <f t="shared" si="3"/>
        <v>31.830914183855359</v>
      </c>
      <c r="K29" s="11">
        <f t="shared" si="4"/>
        <v>1.44</v>
      </c>
      <c r="L29" s="11">
        <f t="shared" si="0"/>
        <v>0.45239039999999997</v>
      </c>
      <c r="M29" s="11">
        <f t="shared" si="5"/>
        <v>14.399999999999999</v>
      </c>
    </row>
    <row r="30" spans="1:13" ht="30" x14ac:dyDescent="0.25">
      <c r="A30" s="198"/>
      <c r="B30" s="198"/>
      <c r="C30" s="14" t="s">
        <v>12</v>
      </c>
      <c r="D30" s="14" t="s">
        <v>13</v>
      </c>
      <c r="E30" s="14">
        <v>18</v>
      </c>
      <c r="F30" s="11">
        <f t="shared" si="1"/>
        <v>0.18</v>
      </c>
      <c r="G30" s="12">
        <f t="shared" si="2"/>
        <v>2.5446959999999998E-2</v>
      </c>
      <c r="H30" s="11">
        <v>19</v>
      </c>
      <c r="I30" s="33">
        <v>1</v>
      </c>
      <c r="J30" s="11">
        <f t="shared" si="3"/>
        <v>31.830914183855359</v>
      </c>
      <c r="K30" s="11">
        <f t="shared" si="4"/>
        <v>0.80999999999999994</v>
      </c>
      <c r="L30" s="11">
        <f t="shared" si="0"/>
        <v>0.24174611999999995</v>
      </c>
      <c r="M30" s="11">
        <f t="shared" si="5"/>
        <v>7.6949999999999985</v>
      </c>
    </row>
    <row r="31" spans="1:13" ht="30" x14ac:dyDescent="0.25">
      <c r="A31" s="198"/>
      <c r="B31" s="198"/>
      <c r="C31" s="14" t="s">
        <v>12</v>
      </c>
      <c r="D31" s="14" t="s">
        <v>13</v>
      </c>
      <c r="E31" s="14">
        <v>20</v>
      </c>
      <c r="F31" s="11">
        <f t="shared" si="1"/>
        <v>0.2</v>
      </c>
      <c r="G31" s="12">
        <f t="shared" si="2"/>
        <v>3.1416000000000006E-2</v>
      </c>
      <c r="H31" s="11">
        <v>19</v>
      </c>
      <c r="I31" s="33">
        <v>1</v>
      </c>
      <c r="J31" s="11">
        <f t="shared" si="3"/>
        <v>31.830914183855359</v>
      </c>
      <c r="K31" s="11">
        <f t="shared" si="4"/>
        <v>1.0000000000000002</v>
      </c>
      <c r="L31" s="11">
        <f t="shared" si="0"/>
        <v>0.29845200000000005</v>
      </c>
      <c r="M31" s="11">
        <f t="shared" si="5"/>
        <v>9.5000000000000018</v>
      </c>
    </row>
    <row r="32" spans="1:13" ht="30" x14ac:dyDescent="0.25">
      <c r="A32" s="198"/>
      <c r="B32" s="198"/>
      <c r="C32" s="14" t="s">
        <v>12</v>
      </c>
      <c r="D32" s="14" t="s">
        <v>13</v>
      </c>
      <c r="E32" s="14">
        <v>21</v>
      </c>
      <c r="F32" s="11">
        <f t="shared" si="1"/>
        <v>0.21</v>
      </c>
      <c r="G32" s="12">
        <f t="shared" si="2"/>
        <v>3.4636139999999996E-2</v>
      </c>
      <c r="H32" s="11">
        <v>21</v>
      </c>
      <c r="I32" s="33">
        <v>1</v>
      </c>
      <c r="J32" s="11">
        <f t="shared" si="3"/>
        <v>31.830914183855359</v>
      </c>
      <c r="K32" s="11">
        <f t="shared" si="4"/>
        <v>1.1024999999999998</v>
      </c>
      <c r="L32" s="11">
        <f t="shared" si="0"/>
        <v>0.36367946999999989</v>
      </c>
      <c r="M32" s="11">
        <f t="shared" si="5"/>
        <v>11.576249999999996</v>
      </c>
    </row>
    <row r="33" spans="1:13" ht="30" x14ac:dyDescent="0.25">
      <c r="A33" s="198"/>
      <c r="B33" s="198"/>
      <c r="C33" s="14" t="s">
        <v>12</v>
      </c>
      <c r="D33" s="14" t="s">
        <v>13</v>
      </c>
      <c r="E33" s="14">
        <v>17</v>
      </c>
      <c r="F33" s="11">
        <f t="shared" si="1"/>
        <v>0.17</v>
      </c>
      <c r="G33" s="12">
        <f t="shared" si="2"/>
        <v>2.2698060000000003E-2</v>
      </c>
      <c r="H33" s="11">
        <v>18</v>
      </c>
      <c r="I33" s="33">
        <v>1</v>
      </c>
      <c r="J33" s="11">
        <f t="shared" si="3"/>
        <v>31.830914183855359</v>
      </c>
      <c r="K33" s="11">
        <f t="shared" si="4"/>
        <v>0.72250000000000003</v>
      </c>
      <c r="L33" s="11">
        <f t="shared" si="0"/>
        <v>0.20428254000000004</v>
      </c>
      <c r="M33" s="11">
        <f t="shared" si="5"/>
        <v>6.5025000000000013</v>
      </c>
    </row>
    <row r="34" spans="1:13" ht="30" x14ac:dyDescent="0.25">
      <c r="A34" s="198"/>
      <c r="B34" s="198"/>
      <c r="C34" s="14" t="s">
        <v>12</v>
      </c>
      <c r="D34" s="14" t="s">
        <v>13</v>
      </c>
      <c r="E34" s="14">
        <v>25</v>
      </c>
      <c r="F34" s="11">
        <f t="shared" si="1"/>
        <v>0.25</v>
      </c>
      <c r="G34" s="12">
        <f t="shared" si="2"/>
        <v>4.9087499999999999E-2</v>
      </c>
      <c r="H34" s="11">
        <v>22</v>
      </c>
      <c r="I34" s="33">
        <v>1</v>
      </c>
      <c r="J34" s="11">
        <f t="shared" si="3"/>
        <v>31.830914183855359</v>
      </c>
      <c r="K34" s="11">
        <f t="shared" si="4"/>
        <v>1.5625</v>
      </c>
      <c r="L34" s="11">
        <f t="shared" si="0"/>
        <v>0.53996250000000001</v>
      </c>
      <c r="M34" s="11">
        <f t="shared" si="5"/>
        <v>17.1875</v>
      </c>
    </row>
    <row r="35" spans="1:13" ht="30" x14ac:dyDescent="0.25">
      <c r="A35" s="198"/>
      <c r="B35" s="198"/>
      <c r="C35" s="14" t="s">
        <v>12</v>
      </c>
      <c r="D35" s="14" t="s">
        <v>13</v>
      </c>
      <c r="E35" s="14">
        <v>19</v>
      </c>
      <c r="F35" s="11">
        <f t="shared" si="1"/>
        <v>0.19</v>
      </c>
      <c r="G35" s="12">
        <f t="shared" si="2"/>
        <v>2.835294E-2</v>
      </c>
      <c r="H35" s="11">
        <v>17</v>
      </c>
      <c r="I35" s="33">
        <v>1</v>
      </c>
      <c r="J35" s="11">
        <f t="shared" si="3"/>
        <v>31.830914183855359</v>
      </c>
      <c r="K35" s="11">
        <f t="shared" si="4"/>
        <v>0.90249999999999997</v>
      </c>
      <c r="L35" s="11">
        <f t="shared" si="0"/>
        <v>0.24099999</v>
      </c>
      <c r="M35" s="11">
        <f t="shared" si="5"/>
        <v>7.6712499999999997</v>
      </c>
    </row>
    <row r="36" spans="1:13" ht="30" x14ac:dyDescent="0.25">
      <c r="A36" s="198"/>
      <c r="B36" s="198"/>
      <c r="C36" s="14" t="s">
        <v>7</v>
      </c>
      <c r="D36" s="14" t="s">
        <v>8</v>
      </c>
      <c r="E36" s="14">
        <v>22</v>
      </c>
      <c r="F36" s="11">
        <f t="shared" si="1"/>
        <v>0.22</v>
      </c>
      <c r="G36" s="12">
        <f t="shared" si="2"/>
        <v>3.8013359999999996E-2</v>
      </c>
      <c r="H36" s="11">
        <v>20</v>
      </c>
      <c r="I36" s="33">
        <v>1</v>
      </c>
      <c r="J36" s="11">
        <f t="shared" si="3"/>
        <v>31.830914183855359</v>
      </c>
      <c r="K36" s="11">
        <f t="shared" si="4"/>
        <v>1.2099999999999997</v>
      </c>
      <c r="L36" s="11">
        <f t="shared" si="0"/>
        <v>0.38013359999999996</v>
      </c>
      <c r="M36" s="11">
        <f t="shared" si="5"/>
        <v>12.099999999999998</v>
      </c>
    </row>
    <row r="37" spans="1:13" ht="30" x14ac:dyDescent="0.25">
      <c r="A37" s="198"/>
      <c r="B37" s="198"/>
      <c r="C37" s="14" t="s">
        <v>7</v>
      </c>
      <c r="D37" s="14" t="s">
        <v>8</v>
      </c>
      <c r="E37" s="14">
        <v>23</v>
      </c>
      <c r="F37" s="11">
        <f t="shared" si="1"/>
        <v>0.23</v>
      </c>
      <c r="G37" s="12">
        <f t="shared" si="2"/>
        <v>4.154766E-2</v>
      </c>
      <c r="H37" s="11">
        <v>21</v>
      </c>
      <c r="I37" s="33">
        <v>1</v>
      </c>
      <c r="J37" s="11">
        <f t="shared" si="3"/>
        <v>31.830914183855359</v>
      </c>
      <c r="K37" s="11">
        <f t="shared" si="4"/>
        <v>1.3225</v>
      </c>
      <c r="L37" s="11">
        <f t="shared" si="0"/>
        <v>0.43625042999999997</v>
      </c>
      <c r="M37" s="11">
        <f t="shared" si="5"/>
        <v>13.886249999999999</v>
      </c>
    </row>
    <row r="38" spans="1:13" ht="30" x14ac:dyDescent="0.25">
      <c r="A38" s="198"/>
      <c r="B38" s="198"/>
      <c r="C38" s="14" t="s">
        <v>7</v>
      </c>
      <c r="D38" s="14" t="s">
        <v>8</v>
      </c>
      <c r="E38" s="14">
        <v>19</v>
      </c>
      <c r="F38" s="11">
        <f t="shared" si="1"/>
        <v>0.19</v>
      </c>
      <c r="G38" s="12">
        <f t="shared" si="2"/>
        <v>2.835294E-2</v>
      </c>
      <c r="H38" s="11">
        <v>19</v>
      </c>
      <c r="I38" s="33">
        <v>1</v>
      </c>
      <c r="J38" s="11">
        <f t="shared" si="3"/>
        <v>31.830914183855359</v>
      </c>
      <c r="K38" s="11">
        <f t="shared" si="4"/>
        <v>0.90249999999999997</v>
      </c>
      <c r="L38" s="11">
        <f t="shared" si="0"/>
        <v>0.26935292999999999</v>
      </c>
      <c r="M38" s="11">
        <f t="shared" si="5"/>
        <v>8.5737499999999986</v>
      </c>
    </row>
    <row r="39" spans="1:13" ht="30" x14ac:dyDescent="0.25">
      <c r="A39" s="198"/>
      <c r="B39" s="198"/>
      <c r="C39" s="14" t="s">
        <v>7</v>
      </c>
      <c r="D39" s="14" t="s">
        <v>8</v>
      </c>
      <c r="E39" s="14">
        <v>20</v>
      </c>
      <c r="F39" s="11">
        <f t="shared" si="1"/>
        <v>0.2</v>
      </c>
      <c r="G39" s="12">
        <f t="shared" si="2"/>
        <v>3.1416000000000006E-2</v>
      </c>
      <c r="H39" s="11">
        <v>21</v>
      </c>
      <c r="I39" s="33">
        <v>1</v>
      </c>
      <c r="J39" s="11">
        <f t="shared" si="3"/>
        <v>31.830914183855359</v>
      </c>
      <c r="K39" s="11">
        <f t="shared" si="4"/>
        <v>1.0000000000000002</v>
      </c>
      <c r="L39" s="11">
        <f t="shared" si="0"/>
        <v>0.32986800000000005</v>
      </c>
      <c r="M39" s="11">
        <f t="shared" si="5"/>
        <v>10.500000000000002</v>
      </c>
    </row>
    <row r="40" spans="1:13" ht="30" x14ac:dyDescent="0.25">
      <c r="A40" s="198"/>
      <c r="B40" s="198" t="s">
        <v>15</v>
      </c>
      <c r="C40" s="14" t="s">
        <v>7</v>
      </c>
      <c r="D40" s="14" t="s">
        <v>8</v>
      </c>
      <c r="E40" s="14">
        <v>25</v>
      </c>
      <c r="F40" s="11">
        <f t="shared" si="1"/>
        <v>0.25</v>
      </c>
      <c r="G40" s="12">
        <f t="shared" si="2"/>
        <v>4.9087499999999999E-2</v>
      </c>
      <c r="H40" s="11">
        <v>18</v>
      </c>
      <c r="I40" s="33">
        <v>1</v>
      </c>
      <c r="J40" s="11">
        <f t="shared" si="3"/>
        <v>31.830914183855359</v>
      </c>
      <c r="K40" s="11">
        <f t="shared" si="4"/>
        <v>1.5625</v>
      </c>
      <c r="L40" s="11">
        <f t="shared" si="0"/>
        <v>0.4417875</v>
      </c>
      <c r="M40" s="11">
        <f t="shared" si="5"/>
        <v>14.0625</v>
      </c>
    </row>
    <row r="41" spans="1:13" x14ac:dyDescent="0.25">
      <c r="A41" s="198"/>
      <c r="B41" s="198"/>
      <c r="C41" s="14" t="s">
        <v>16</v>
      </c>
      <c r="D41" s="14" t="s">
        <v>17</v>
      </c>
      <c r="E41" s="14">
        <v>25</v>
      </c>
      <c r="F41" s="11">
        <f t="shared" si="1"/>
        <v>0.25</v>
      </c>
      <c r="G41" s="12">
        <f t="shared" si="2"/>
        <v>4.9087499999999999E-2</v>
      </c>
      <c r="H41" s="11">
        <v>15</v>
      </c>
      <c r="I41" s="33">
        <v>1</v>
      </c>
      <c r="J41" s="11">
        <f t="shared" si="3"/>
        <v>31.830914183855359</v>
      </c>
      <c r="K41" s="11">
        <f t="shared" si="4"/>
        <v>1.5625</v>
      </c>
      <c r="L41" s="11">
        <f t="shared" ref="L41:L74" si="6">F40*F40*H40*0.5*3.1416/4</f>
        <v>0.4417875</v>
      </c>
      <c r="M41" s="11">
        <f t="shared" si="5"/>
        <v>14.0625</v>
      </c>
    </row>
    <row r="42" spans="1:13" x14ac:dyDescent="0.25">
      <c r="A42" s="198"/>
      <c r="B42" s="198"/>
      <c r="C42" s="14" t="s">
        <v>16</v>
      </c>
      <c r="D42" s="14" t="s">
        <v>17</v>
      </c>
      <c r="E42" s="14">
        <v>26</v>
      </c>
      <c r="F42" s="11">
        <f t="shared" si="1"/>
        <v>0.26</v>
      </c>
      <c r="G42" s="12">
        <f t="shared" si="2"/>
        <v>5.3093040000000008E-2</v>
      </c>
      <c r="H42" s="11">
        <v>15</v>
      </c>
      <c r="I42" s="33">
        <v>1</v>
      </c>
      <c r="J42" s="11">
        <f t="shared" si="3"/>
        <v>31.830914183855359</v>
      </c>
      <c r="K42" s="11">
        <f t="shared" si="4"/>
        <v>1.6900000000000002</v>
      </c>
      <c r="L42" s="11">
        <f t="shared" si="6"/>
        <v>0.36815625000000002</v>
      </c>
      <c r="M42" s="11">
        <f t="shared" si="5"/>
        <v>11.71875</v>
      </c>
    </row>
    <row r="43" spans="1:13" ht="30" x14ac:dyDescent="0.25">
      <c r="A43" s="198"/>
      <c r="B43" s="198"/>
      <c r="C43" s="14" t="s">
        <v>7</v>
      </c>
      <c r="D43" s="14" t="s">
        <v>8</v>
      </c>
      <c r="E43" s="14">
        <v>22</v>
      </c>
      <c r="F43" s="11">
        <f t="shared" si="1"/>
        <v>0.22</v>
      </c>
      <c r="G43" s="12">
        <f t="shared" si="2"/>
        <v>3.8013359999999996E-2</v>
      </c>
      <c r="H43" s="11">
        <v>20</v>
      </c>
      <c r="I43" s="33">
        <v>1</v>
      </c>
      <c r="J43" s="11">
        <f t="shared" si="3"/>
        <v>31.830914183855359</v>
      </c>
      <c r="K43" s="11">
        <f t="shared" si="4"/>
        <v>1.2099999999999997</v>
      </c>
      <c r="L43" s="11">
        <f t="shared" si="6"/>
        <v>0.39819779999999999</v>
      </c>
      <c r="M43" s="11">
        <f t="shared" si="5"/>
        <v>12.674999999999999</v>
      </c>
    </row>
    <row r="44" spans="1:13" ht="30" x14ac:dyDescent="0.25">
      <c r="A44" s="198"/>
      <c r="B44" s="198"/>
      <c r="C44" s="14" t="s">
        <v>7</v>
      </c>
      <c r="D44" s="14" t="s">
        <v>8</v>
      </c>
      <c r="E44" s="14">
        <v>22</v>
      </c>
      <c r="F44" s="11">
        <f t="shared" si="1"/>
        <v>0.22</v>
      </c>
      <c r="G44" s="12">
        <f t="shared" si="2"/>
        <v>3.8013359999999996E-2</v>
      </c>
      <c r="H44" s="11">
        <v>18</v>
      </c>
      <c r="I44" s="33">
        <v>1</v>
      </c>
      <c r="J44" s="11">
        <f t="shared" si="3"/>
        <v>31.830914183855359</v>
      </c>
      <c r="K44" s="11">
        <f t="shared" si="4"/>
        <v>1.2099999999999997</v>
      </c>
      <c r="L44" s="11">
        <f t="shared" si="6"/>
        <v>0.38013359999999996</v>
      </c>
      <c r="M44" s="11">
        <f t="shared" si="5"/>
        <v>12.099999999999998</v>
      </c>
    </row>
    <row r="45" spans="1:13" ht="30" x14ac:dyDescent="0.25">
      <c r="A45" s="198"/>
      <c r="B45" s="198"/>
      <c r="C45" s="14" t="s">
        <v>7</v>
      </c>
      <c r="D45" s="14" t="s">
        <v>8</v>
      </c>
      <c r="E45" s="14">
        <v>20</v>
      </c>
      <c r="F45" s="11">
        <f t="shared" si="1"/>
        <v>0.2</v>
      </c>
      <c r="G45" s="12">
        <f t="shared" si="2"/>
        <v>3.1416000000000006E-2</v>
      </c>
      <c r="H45" s="11">
        <v>15</v>
      </c>
      <c r="I45" s="33">
        <v>1</v>
      </c>
      <c r="J45" s="11">
        <f t="shared" si="3"/>
        <v>31.830914183855359</v>
      </c>
      <c r="K45" s="11">
        <f t="shared" si="4"/>
        <v>1.0000000000000002</v>
      </c>
      <c r="L45" s="11">
        <f t="shared" si="6"/>
        <v>0.34212023999999996</v>
      </c>
      <c r="M45" s="11">
        <f t="shared" si="5"/>
        <v>10.889999999999999</v>
      </c>
    </row>
    <row r="46" spans="1:13" ht="30" x14ac:dyDescent="0.25">
      <c r="A46" s="198"/>
      <c r="B46" s="198"/>
      <c r="C46" s="14" t="s">
        <v>7</v>
      </c>
      <c r="D46" s="14" t="s">
        <v>8</v>
      </c>
      <c r="E46" s="14">
        <v>18</v>
      </c>
      <c r="F46" s="11">
        <f t="shared" si="1"/>
        <v>0.18</v>
      </c>
      <c r="G46" s="12">
        <f t="shared" si="2"/>
        <v>2.5446959999999998E-2</v>
      </c>
      <c r="H46" s="11">
        <v>10</v>
      </c>
      <c r="I46" s="33">
        <v>1</v>
      </c>
      <c r="J46" s="11">
        <f t="shared" si="3"/>
        <v>31.830914183855359</v>
      </c>
      <c r="K46" s="11">
        <f t="shared" si="4"/>
        <v>0.80999999999999994</v>
      </c>
      <c r="L46" s="11">
        <f t="shared" si="6"/>
        <v>0.23562000000000002</v>
      </c>
      <c r="M46" s="11">
        <f t="shared" si="5"/>
        <v>7.5000000000000009</v>
      </c>
    </row>
    <row r="47" spans="1:13" ht="30" x14ac:dyDescent="0.25">
      <c r="A47" s="198"/>
      <c r="B47" s="198"/>
      <c r="C47" s="14" t="s">
        <v>7</v>
      </c>
      <c r="D47" s="14" t="s">
        <v>8</v>
      </c>
      <c r="E47" s="14">
        <v>24</v>
      </c>
      <c r="F47" s="11">
        <f t="shared" si="1"/>
        <v>0.24</v>
      </c>
      <c r="G47" s="12">
        <f t="shared" si="2"/>
        <v>4.5239040000000001E-2</v>
      </c>
      <c r="H47" s="11">
        <v>18</v>
      </c>
      <c r="I47" s="33">
        <v>1</v>
      </c>
      <c r="J47" s="11">
        <f t="shared" si="3"/>
        <v>31.830914183855359</v>
      </c>
      <c r="K47" s="11">
        <f t="shared" si="4"/>
        <v>1.44</v>
      </c>
      <c r="L47" s="11">
        <f t="shared" si="6"/>
        <v>0.12723479999999998</v>
      </c>
      <c r="M47" s="11">
        <f t="shared" si="5"/>
        <v>4.0499999999999989</v>
      </c>
    </row>
    <row r="48" spans="1:13" ht="30" x14ac:dyDescent="0.25">
      <c r="A48" s="198" t="s">
        <v>33</v>
      </c>
      <c r="B48" s="198" t="s">
        <v>14</v>
      </c>
      <c r="C48" s="14" t="s">
        <v>18</v>
      </c>
      <c r="D48" s="14" t="s">
        <v>35</v>
      </c>
      <c r="E48" s="14">
        <v>12</v>
      </c>
      <c r="F48" s="11">
        <f t="shared" si="1"/>
        <v>0.12</v>
      </c>
      <c r="G48" s="12">
        <f t="shared" si="2"/>
        <v>1.130976E-2</v>
      </c>
      <c r="H48" s="11">
        <v>8</v>
      </c>
      <c r="I48" s="33">
        <v>1</v>
      </c>
      <c r="J48" s="11">
        <f t="shared" si="3"/>
        <v>31.830914183855359</v>
      </c>
      <c r="K48" s="11">
        <f t="shared" si="4"/>
        <v>0.36</v>
      </c>
      <c r="L48" s="11">
        <f t="shared" si="6"/>
        <v>0.40715135999999996</v>
      </c>
      <c r="M48" s="11">
        <f t="shared" si="5"/>
        <v>12.959999999999999</v>
      </c>
    </row>
    <row r="49" spans="1:13" ht="30" x14ac:dyDescent="0.25">
      <c r="A49" s="198"/>
      <c r="B49" s="198"/>
      <c r="C49" s="14" t="s">
        <v>18</v>
      </c>
      <c r="D49" s="14" t="s">
        <v>35</v>
      </c>
      <c r="E49" s="14">
        <v>17</v>
      </c>
      <c r="F49" s="11">
        <f t="shared" si="1"/>
        <v>0.17</v>
      </c>
      <c r="G49" s="12">
        <f t="shared" si="2"/>
        <v>2.2698060000000003E-2</v>
      </c>
      <c r="H49" s="11">
        <v>12</v>
      </c>
      <c r="I49" s="33">
        <v>1</v>
      </c>
      <c r="J49" s="11">
        <f t="shared" si="3"/>
        <v>31.830914183855359</v>
      </c>
      <c r="K49" s="11">
        <f t="shared" si="4"/>
        <v>0.72250000000000003</v>
      </c>
      <c r="L49" s="11">
        <f t="shared" si="6"/>
        <v>4.5239040000000001E-2</v>
      </c>
      <c r="M49" s="11">
        <f t="shared" si="5"/>
        <v>1.44</v>
      </c>
    </row>
    <row r="50" spans="1:13" ht="30" x14ac:dyDescent="0.25">
      <c r="A50" s="198"/>
      <c r="B50" s="198"/>
      <c r="C50" s="14" t="s">
        <v>18</v>
      </c>
      <c r="D50" s="14" t="s">
        <v>35</v>
      </c>
      <c r="E50" s="14">
        <v>15</v>
      </c>
      <c r="F50" s="11">
        <f t="shared" si="1"/>
        <v>0.15</v>
      </c>
      <c r="G50" s="12">
        <f t="shared" si="2"/>
        <v>1.76715E-2</v>
      </c>
      <c r="H50" s="11">
        <v>11</v>
      </c>
      <c r="I50" s="33">
        <v>1</v>
      </c>
      <c r="J50" s="11">
        <f t="shared" si="3"/>
        <v>31.830914183855359</v>
      </c>
      <c r="K50" s="11">
        <f t="shared" si="4"/>
        <v>0.5625</v>
      </c>
      <c r="L50" s="11">
        <f t="shared" si="6"/>
        <v>0.13618836000000001</v>
      </c>
      <c r="M50" s="11">
        <f t="shared" si="5"/>
        <v>4.335</v>
      </c>
    </row>
    <row r="51" spans="1:13" ht="30" x14ac:dyDescent="0.25">
      <c r="A51" s="198"/>
      <c r="B51" s="198"/>
      <c r="C51" s="14" t="s">
        <v>18</v>
      </c>
      <c r="D51" s="14" t="s">
        <v>35</v>
      </c>
      <c r="E51" s="14">
        <v>26</v>
      </c>
      <c r="F51" s="11">
        <f t="shared" si="1"/>
        <v>0.26</v>
      </c>
      <c r="G51" s="12">
        <f t="shared" si="2"/>
        <v>5.3093040000000008E-2</v>
      </c>
      <c r="H51" s="11">
        <v>16</v>
      </c>
      <c r="I51" s="33">
        <v>1</v>
      </c>
      <c r="J51" s="11">
        <f t="shared" si="3"/>
        <v>31.830914183855359</v>
      </c>
      <c r="K51" s="11">
        <f t="shared" si="4"/>
        <v>1.6900000000000002</v>
      </c>
      <c r="L51" s="11">
        <f t="shared" si="6"/>
        <v>9.7193249999999995E-2</v>
      </c>
      <c r="M51" s="11">
        <f t="shared" si="5"/>
        <v>3.0937499999999996</v>
      </c>
    </row>
    <row r="52" spans="1:13" ht="30" x14ac:dyDescent="0.25">
      <c r="A52" s="198"/>
      <c r="B52" s="198"/>
      <c r="C52" s="14" t="s">
        <v>18</v>
      </c>
      <c r="D52" s="14" t="s">
        <v>35</v>
      </c>
      <c r="E52" s="14">
        <v>20</v>
      </c>
      <c r="F52" s="11">
        <f t="shared" si="1"/>
        <v>0.2</v>
      </c>
      <c r="G52" s="12">
        <f t="shared" si="2"/>
        <v>3.1416000000000006E-2</v>
      </c>
      <c r="H52" s="11">
        <v>14</v>
      </c>
      <c r="I52" s="33">
        <v>1</v>
      </c>
      <c r="J52" s="11">
        <f t="shared" si="3"/>
        <v>31.830914183855359</v>
      </c>
      <c r="K52" s="11">
        <f t="shared" si="4"/>
        <v>1.0000000000000002</v>
      </c>
      <c r="L52" s="11">
        <f t="shared" si="6"/>
        <v>0.42474432000000006</v>
      </c>
      <c r="M52" s="11">
        <f t="shared" si="5"/>
        <v>13.520000000000001</v>
      </c>
    </row>
    <row r="53" spans="1:13" ht="30" x14ac:dyDescent="0.25">
      <c r="A53" s="198"/>
      <c r="B53" s="198"/>
      <c r="C53" s="14" t="s">
        <v>18</v>
      </c>
      <c r="D53" s="14" t="s">
        <v>35</v>
      </c>
      <c r="E53" s="14">
        <v>18</v>
      </c>
      <c r="F53" s="11">
        <f t="shared" si="1"/>
        <v>0.18</v>
      </c>
      <c r="G53" s="12">
        <f t="shared" si="2"/>
        <v>2.5446959999999998E-2</v>
      </c>
      <c r="H53" s="11">
        <v>12</v>
      </c>
      <c r="I53" s="33">
        <v>1</v>
      </c>
      <c r="J53" s="11">
        <f t="shared" si="3"/>
        <v>31.830914183855359</v>
      </c>
      <c r="K53" s="11">
        <f t="shared" si="4"/>
        <v>0.80999999999999994</v>
      </c>
      <c r="L53" s="11">
        <f t="shared" si="6"/>
        <v>0.21991200000000002</v>
      </c>
      <c r="M53" s="11">
        <f t="shared" si="5"/>
        <v>7.0000000000000009</v>
      </c>
    </row>
    <row r="54" spans="1:13" ht="30" x14ac:dyDescent="0.25">
      <c r="A54" s="198"/>
      <c r="B54" s="198"/>
      <c r="C54" s="14" t="s">
        <v>18</v>
      </c>
      <c r="D54" s="14" t="s">
        <v>35</v>
      </c>
      <c r="E54" s="14">
        <v>13</v>
      </c>
      <c r="F54" s="11">
        <f t="shared" si="1"/>
        <v>0.13</v>
      </c>
      <c r="G54" s="12">
        <f t="shared" si="2"/>
        <v>1.3273260000000002E-2</v>
      </c>
      <c r="H54" s="11">
        <v>10</v>
      </c>
      <c r="I54" s="33">
        <v>1</v>
      </c>
      <c r="J54" s="11">
        <f t="shared" si="3"/>
        <v>31.830914183855359</v>
      </c>
      <c r="K54" s="11">
        <f t="shared" si="4"/>
        <v>0.42250000000000004</v>
      </c>
      <c r="L54" s="11">
        <f t="shared" si="6"/>
        <v>0.15268176</v>
      </c>
      <c r="M54" s="11">
        <f t="shared" si="5"/>
        <v>4.8599999999999994</v>
      </c>
    </row>
    <row r="55" spans="1:13" ht="30" x14ac:dyDescent="0.25">
      <c r="A55" s="198"/>
      <c r="B55" s="198"/>
      <c r="C55" s="14" t="s">
        <v>18</v>
      </c>
      <c r="D55" s="14" t="s">
        <v>35</v>
      </c>
      <c r="E55" s="14">
        <v>13</v>
      </c>
      <c r="F55" s="11">
        <f t="shared" si="1"/>
        <v>0.13</v>
      </c>
      <c r="G55" s="12">
        <f t="shared" si="2"/>
        <v>1.3273260000000002E-2</v>
      </c>
      <c r="H55" s="11">
        <v>11</v>
      </c>
      <c r="I55" s="33">
        <v>1</v>
      </c>
      <c r="J55" s="11">
        <f t="shared" si="3"/>
        <v>31.830914183855359</v>
      </c>
      <c r="K55" s="11">
        <f t="shared" si="4"/>
        <v>0.42250000000000004</v>
      </c>
      <c r="L55" s="11">
        <f t="shared" si="6"/>
        <v>6.6366300000000003E-2</v>
      </c>
      <c r="M55" s="11">
        <f t="shared" si="5"/>
        <v>2.1124999999999998</v>
      </c>
    </row>
    <row r="56" spans="1:13" ht="30" x14ac:dyDescent="0.25">
      <c r="A56" s="198"/>
      <c r="B56" s="198"/>
      <c r="C56" s="14" t="s">
        <v>18</v>
      </c>
      <c r="D56" s="14" t="s">
        <v>35</v>
      </c>
      <c r="E56" s="14">
        <v>20</v>
      </c>
      <c r="F56" s="11">
        <f t="shared" si="1"/>
        <v>0.2</v>
      </c>
      <c r="G56" s="12">
        <f t="shared" si="2"/>
        <v>3.1416000000000006E-2</v>
      </c>
      <c r="H56" s="11">
        <v>13</v>
      </c>
      <c r="I56" s="33">
        <v>1</v>
      </c>
      <c r="J56" s="11">
        <f t="shared" si="3"/>
        <v>31.830914183855359</v>
      </c>
      <c r="K56" s="11">
        <f t="shared" si="4"/>
        <v>1.0000000000000002</v>
      </c>
      <c r="L56" s="11">
        <f t="shared" si="6"/>
        <v>7.3002930000000008E-2</v>
      </c>
      <c r="M56" s="11">
        <f t="shared" si="5"/>
        <v>2.32375</v>
      </c>
    </row>
    <row r="57" spans="1:13" ht="30" x14ac:dyDescent="0.25">
      <c r="A57" s="198"/>
      <c r="B57" s="198"/>
      <c r="C57" s="14" t="s">
        <v>18</v>
      </c>
      <c r="D57" s="14" t="s">
        <v>35</v>
      </c>
      <c r="E57" s="14">
        <v>15</v>
      </c>
      <c r="F57" s="11">
        <f t="shared" si="1"/>
        <v>0.15</v>
      </c>
      <c r="G57" s="12">
        <f t="shared" si="2"/>
        <v>1.76715E-2</v>
      </c>
      <c r="H57" s="11">
        <v>10</v>
      </c>
      <c r="I57" s="33">
        <v>1</v>
      </c>
      <c r="J57" s="11">
        <f t="shared" si="3"/>
        <v>31.830914183855359</v>
      </c>
      <c r="K57" s="11">
        <f t="shared" si="4"/>
        <v>0.5625</v>
      </c>
      <c r="L57" s="11">
        <f t="shared" si="6"/>
        <v>0.20420400000000005</v>
      </c>
      <c r="M57" s="11">
        <f t="shared" si="5"/>
        <v>6.5000000000000018</v>
      </c>
    </row>
    <row r="58" spans="1:13" ht="30" x14ac:dyDescent="0.25">
      <c r="A58" s="198"/>
      <c r="B58" s="198"/>
      <c r="C58" s="14" t="s">
        <v>18</v>
      </c>
      <c r="D58" s="14" t="s">
        <v>35</v>
      </c>
      <c r="E58" s="14">
        <v>13</v>
      </c>
      <c r="F58" s="11">
        <f t="shared" si="1"/>
        <v>0.13</v>
      </c>
      <c r="G58" s="12">
        <f t="shared" si="2"/>
        <v>1.3273260000000002E-2</v>
      </c>
      <c r="H58" s="11">
        <v>9</v>
      </c>
      <c r="I58" s="33">
        <v>1</v>
      </c>
      <c r="J58" s="11">
        <f t="shared" si="3"/>
        <v>31.830914183855359</v>
      </c>
      <c r="K58" s="11">
        <f t="shared" si="4"/>
        <v>0.42250000000000004</v>
      </c>
      <c r="L58" s="11">
        <f t="shared" si="6"/>
        <v>8.8357499999999992E-2</v>
      </c>
      <c r="M58" s="11">
        <f t="shared" si="5"/>
        <v>2.8124999999999996</v>
      </c>
    </row>
    <row r="59" spans="1:13" ht="30" x14ac:dyDescent="0.25">
      <c r="A59" s="198"/>
      <c r="B59" s="198" t="s">
        <v>15</v>
      </c>
      <c r="C59" s="14" t="s">
        <v>18</v>
      </c>
      <c r="D59" s="14" t="s">
        <v>35</v>
      </c>
      <c r="E59" s="14">
        <v>21</v>
      </c>
      <c r="F59" s="11">
        <f t="shared" si="1"/>
        <v>0.21</v>
      </c>
      <c r="G59" s="12">
        <f t="shared" si="2"/>
        <v>3.4636139999999996E-2</v>
      </c>
      <c r="H59" s="11">
        <v>15</v>
      </c>
      <c r="I59" s="33">
        <v>1</v>
      </c>
      <c r="J59" s="11">
        <f t="shared" si="3"/>
        <v>31.830914183855359</v>
      </c>
      <c r="K59" s="11">
        <f t="shared" si="4"/>
        <v>1.1024999999999998</v>
      </c>
      <c r="L59" s="11">
        <f t="shared" si="6"/>
        <v>5.9729670000000006E-2</v>
      </c>
      <c r="M59" s="11">
        <f t="shared" si="5"/>
        <v>1.9012500000000001</v>
      </c>
    </row>
    <row r="60" spans="1:13" ht="30" x14ac:dyDescent="0.25">
      <c r="A60" s="198"/>
      <c r="B60" s="198"/>
      <c r="C60" s="14" t="s">
        <v>9</v>
      </c>
      <c r="D60" s="14" t="s">
        <v>10</v>
      </c>
      <c r="E60" s="14">
        <v>23</v>
      </c>
      <c r="F60" s="11">
        <f t="shared" si="1"/>
        <v>0.23</v>
      </c>
      <c r="G60" s="12">
        <f t="shared" si="2"/>
        <v>4.154766E-2</v>
      </c>
      <c r="H60" s="11">
        <v>21</v>
      </c>
      <c r="I60" s="33">
        <v>1</v>
      </c>
      <c r="J60" s="11">
        <f t="shared" si="3"/>
        <v>31.830914183855359</v>
      </c>
      <c r="K60" s="11">
        <f t="shared" si="4"/>
        <v>1.3225</v>
      </c>
      <c r="L60" s="11">
        <f t="shared" si="6"/>
        <v>0.25977104999999995</v>
      </c>
      <c r="M60" s="11">
        <f t="shared" si="5"/>
        <v>8.2687499999999989</v>
      </c>
    </row>
    <row r="61" spans="1:13" ht="30" x14ac:dyDescent="0.25">
      <c r="A61" s="198"/>
      <c r="B61" s="198"/>
      <c r="C61" s="14" t="s">
        <v>20</v>
      </c>
      <c r="D61" s="14" t="s">
        <v>171</v>
      </c>
      <c r="E61" s="14">
        <v>19</v>
      </c>
      <c r="F61" s="11">
        <f t="shared" si="1"/>
        <v>0.19</v>
      </c>
      <c r="G61" s="12">
        <f t="shared" si="2"/>
        <v>2.835294E-2</v>
      </c>
      <c r="H61" s="11">
        <v>13</v>
      </c>
      <c r="I61" s="33">
        <v>1</v>
      </c>
      <c r="J61" s="11">
        <f t="shared" si="3"/>
        <v>31.830914183855359</v>
      </c>
      <c r="K61" s="11">
        <f t="shared" si="4"/>
        <v>0.90249999999999997</v>
      </c>
      <c r="L61" s="11">
        <f t="shared" si="6"/>
        <v>0.43625042999999997</v>
      </c>
      <c r="M61" s="11">
        <f t="shared" si="5"/>
        <v>13.886249999999999</v>
      </c>
    </row>
    <row r="62" spans="1:13" ht="30" x14ac:dyDescent="0.25">
      <c r="A62" s="198"/>
      <c r="B62" s="198"/>
      <c r="C62" s="14" t="s">
        <v>18</v>
      </c>
      <c r="D62" s="14" t="s">
        <v>35</v>
      </c>
      <c r="E62" s="14">
        <v>12</v>
      </c>
      <c r="F62" s="11">
        <f t="shared" si="1"/>
        <v>0.12</v>
      </c>
      <c r="G62" s="12">
        <f t="shared" si="2"/>
        <v>1.130976E-2</v>
      </c>
      <c r="H62" s="11">
        <v>9</v>
      </c>
      <c r="I62" s="33">
        <v>1</v>
      </c>
      <c r="J62" s="11">
        <f t="shared" si="3"/>
        <v>31.830914183855359</v>
      </c>
      <c r="K62" s="11">
        <f t="shared" si="4"/>
        <v>0.36</v>
      </c>
      <c r="L62" s="11">
        <f t="shared" si="6"/>
        <v>0.18429410999999998</v>
      </c>
      <c r="M62" s="11">
        <f t="shared" si="5"/>
        <v>5.8662499999999991</v>
      </c>
    </row>
    <row r="63" spans="1:13" ht="30" x14ac:dyDescent="0.25">
      <c r="A63" s="198"/>
      <c r="B63" s="198"/>
      <c r="C63" s="14" t="s">
        <v>20</v>
      </c>
      <c r="D63" s="14" t="s">
        <v>171</v>
      </c>
      <c r="E63" s="14">
        <v>17</v>
      </c>
      <c r="F63" s="11">
        <f t="shared" si="1"/>
        <v>0.17</v>
      </c>
      <c r="G63" s="12">
        <f t="shared" si="2"/>
        <v>2.2698060000000003E-2</v>
      </c>
      <c r="H63" s="11">
        <v>12</v>
      </c>
      <c r="I63" s="33">
        <v>1</v>
      </c>
      <c r="J63" s="11">
        <f t="shared" si="3"/>
        <v>31.830914183855359</v>
      </c>
      <c r="K63" s="11">
        <f t="shared" si="4"/>
        <v>0.72250000000000003</v>
      </c>
      <c r="L63" s="11">
        <f t="shared" si="6"/>
        <v>5.0893919999999995E-2</v>
      </c>
      <c r="M63" s="11">
        <f t="shared" si="5"/>
        <v>1.6199999999999999</v>
      </c>
    </row>
    <row r="64" spans="1:13" ht="30" x14ac:dyDescent="0.25">
      <c r="A64" s="198"/>
      <c r="B64" s="198"/>
      <c r="C64" s="14" t="s">
        <v>7</v>
      </c>
      <c r="D64" s="14" t="s">
        <v>8</v>
      </c>
      <c r="E64" s="14">
        <v>15</v>
      </c>
      <c r="F64" s="11">
        <f t="shared" si="1"/>
        <v>0.15</v>
      </c>
      <c r="G64" s="12">
        <f t="shared" si="2"/>
        <v>1.76715E-2</v>
      </c>
      <c r="H64" s="11">
        <v>16</v>
      </c>
      <c r="I64" s="33">
        <v>1</v>
      </c>
      <c r="J64" s="11">
        <f t="shared" si="3"/>
        <v>31.830914183855359</v>
      </c>
      <c r="K64" s="11">
        <f t="shared" si="4"/>
        <v>0.5625</v>
      </c>
      <c r="L64" s="11">
        <f t="shared" si="6"/>
        <v>0.13618836000000001</v>
      </c>
      <c r="M64" s="11">
        <f t="shared" si="5"/>
        <v>4.335</v>
      </c>
    </row>
    <row r="65" spans="1:13" ht="30" x14ac:dyDescent="0.25">
      <c r="A65" s="198"/>
      <c r="B65" s="198"/>
      <c r="C65" s="14" t="s">
        <v>21</v>
      </c>
      <c r="D65" s="14" t="s">
        <v>22</v>
      </c>
      <c r="E65" s="14">
        <v>13</v>
      </c>
      <c r="F65" s="11">
        <f t="shared" si="1"/>
        <v>0.13</v>
      </c>
      <c r="G65" s="12">
        <f t="shared" si="2"/>
        <v>1.3273260000000002E-2</v>
      </c>
      <c r="H65" s="11">
        <v>9</v>
      </c>
      <c r="I65" s="33">
        <v>1</v>
      </c>
      <c r="J65" s="11">
        <f t="shared" si="3"/>
        <v>31.830914183855359</v>
      </c>
      <c r="K65" s="11">
        <f t="shared" si="4"/>
        <v>0.42250000000000004</v>
      </c>
      <c r="L65" s="11">
        <f t="shared" si="6"/>
        <v>0.141372</v>
      </c>
      <c r="M65" s="11">
        <f t="shared" si="5"/>
        <v>4.5</v>
      </c>
    </row>
    <row r="66" spans="1:13" ht="30" x14ac:dyDescent="0.25">
      <c r="A66" s="198"/>
      <c r="B66" s="198"/>
      <c r="C66" s="14" t="s">
        <v>12</v>
      </c>
      <c r="D66" s="14" t="s">
        <v>13</v>
      </c>
      <c r="E66" s="14">
        <v>12</v>
      </c>
      <c r="F66" s="11">
        <f t="shared" si="1"/>
        <v>0.12</v>
      </c>
      <c r="G66" s="12">
        <f t="shared" si="2"/>
        <v>1.130976E-2</v>
      </c>
      <c r="H66" s="11">
        <v>10</v>
      </c>
      <c r="I66" s="33">
        <v>1</v>
      </c>
      <c r="J66" s="11">
        <f t="shared" si="3"/>
        <v>31.830914183855359</v>
      </c>
      <c r="K66" s="11">
        <f t="shared" si="4"/>
        <v>0.36</v>
      </c>
      <c r="L66" s="11">
        <f t="shared" si="6"/>
        <v>5.9729670000000006E-2</v>
      </c>
      <c r="M66" s="11">
        <f t="shared" si="5"/>
        <v>1.9012500000000001</v>
      </c>
    </row>
    <row r="67" spans="1:13" ht="30" x14ac:dyDescent="0.25">
      <c r="A67" s="198"/>
      <c r="B67" s="198"/>
      <c r="C67" s="14" t="s">
        <v>18</v>
      </c>
      <c r="D67" s="14" t="s">
        <v>35</v>
      </c>
      <c r="E67" s="14">
        <v>15</v>
      </c>
      <c r="F67" s="11">
        <f t="shared" si="1"/>
        <v>0.15</v>
      </c>
      <c r="G67" s="12">
        <f t="shared" si="2"/>
        <v>1.76715E-2</v>
      </c>
      <c r="H67" s="11">
        <v>11</v>
      </c>
      <c r="I67" s="33">
        <v>1</v>
      </c>
      <c r="J67" s="11">
        <f t="shared" si="3"/>
        <v>31.830914183855359</v>
      </c>
      <c r="K67" s="11">
        <f t="shared" si="4"/>
        <v>0.5625</v>
      </c>
      <c r="L67" s="11">
        <f t="shared" si="6"/>
        <v>5.6548799999999996E-2</v>
      </c>
      <c r="M67" s="11">
        <f t="shared" si="5"/>
        <v>1.7999999999999998</v>
      </c>
    </row>
    <row r="68" spans="1:13" ht="30" x14ac:dyDescent="0.25">
      <c r="A68" s="198"/>
      <c r="B68" s="198"/>
      <c r="C68" s="14" t="s">
        <v>18</v>
      </c>
      <c r="D68" s="14" t="s">
        <v>35</v>
      </c>
      <c r="E68" s="14">
        <v>18</v>
      </c>
      <c r="F68" s="11">
        <f t="shared" ref="F68:F74" si="7">E68/100</f>
        <v>0.18</v>
      </c>
      <c r="G68" s="12">
        <f t="shared" ref="G68:G74" si="8">F68*F68*3.1416/4</f>
        <v>2.5446959999999998E-2</v>
      </c>
      <c r="H68" s="11">
        <v>12</v>
      </c>
      <c r="I68" s="33">
        <v>1</v>
      </c>
      <c r="J68" s="11">
        <f t="shared" ref="J68:J74" si="9">I68*10000/314.16</f>
        <v>31.830914183855359</v>
      </c>
      <c r="K68" s="11">
        <f t="shared" ref="K68:K77" si="10">G68*J68</f>
        <v>0.80999999999999994</v>
      </c>
      <c r="L68" s="11">
        <f t="shared" si="6"/>
        <v>9.7193249999999995E-2</v>
      </c>
      <c r="M68" s="11">
        <f t="shared" ref="M68:M74" si="11">L68*J68</f>
        <v>3.0937499999999996</v>
      </c>
    </row>
    <row r="69" spans="1:13" ht="30" x14ac:dyDescent="0.25">
      <c r="A69" s="198"/>
      <c r="B69" s="198"/>
      <c r="C69" s="14" t="s">
        <v>18</v>
      </c>
      <c r="D69" s="14" t="s">
        <v>35</v>
      </c>
      <c r="E69" s="14">
        <v>16</v>
      </c>
      <c r="F69" s="11">
        <f t="shared" si="7"/>
        <v>0.16</v>
      </c>
      <c r="G69" s="12">
        <f t="shared" si="8"/>
        <v>2.0106240000000001E-2</v>
      </c>
      <c r="H69" s="11">
        <v>10</v>
      </c>
      <c r="I69" s="33">
        <v>1</v>
      </c>
      <c r="J69" s="11">
        <f t="shared" si="9"/>
        <v>31.830914183855359</v>
      </c>
      <c r="K69" s="11">
        <f t="shared" si="10"/>
        <v>0.64</v>
      </c>
      <c r="L69" s="11">
        <f t="shared" si="6"/>
        <v>0.15268176</v>
      </c>
      <c r="M69" s="11">
        <f t="shared" si="11"/>
        <v>4.8599999999999994</v>
      </c>
    </row>
    <row r="70" spans="1:13" ht="30" x14ac:dyDescent="0.25">
      <c r="A70" s="198"/>
      <c r="B70" s="198"/>
      <c r="C70" s="14" t="s">
        <v>18</v>
      </c>
      <c r="D70" s="14" t="s">
        <v>35</v>
      </c>
      <c r="E70" s="14">
        <v>19</v>
      </c>
      <c r="F70" s="11">
        <f t="shared" si="7"/>
        <v>0.19</v>
      </c>
      <c r="G70" s="12">
        <f t="shared" si="8"/>
        <v>2.835294E-2</v>
      </c>
      <c r="H70" s="11">
        <v>13</v>
      </c>
      <c r="I70" s="33">
        <v>1</v>
      </c>
      <c r="J70" s="11">
        <f t="shared" si="9"/>
        <v>31.830914183855359</v>
      </c>
      <c r="K70" s="11">
        <f t="shared" si="10"/>
        <v>0.90249999999999997</v>
      </c>
      <c r="L70" s="11">
        <f t="shared" si="6"/>
        <v>0.1005312</v>
      </c>
      <c r="M70" s="11">
        <f t="shared" si="11"/>
        <v>3.1999999999999997</v>
      </c>
    </row>
    <row r="71" spans="1:13" ht="30" x14ac:dyDescent="0.25">
      <c r="A71" s="198"/>
      <c r="B71" s="198"/>
      <c r="C71" s="14" t="s">
        <v>18</v>
      </c>
      <c r="D71" s="14" t="s">
        <v>35</v>
      </c>
      <c r="E71" s="14">
        <v>11</v>
      </c>
      <c r="F71" s="11">
        <f t="shared" si="7"/>
        <v>0.11</v>
      </c>
      <c r="G71" s="12">
        <f t="shared" si="8"/>
        <v>9.503339999999999E-3</v>
      </c>
      <c r="H71" s="11">
        <v>12</v>
      </c>
      <c r="I71" s="33">
        <v>1</v>
      </c>
      <c r="J71" s="11">
        <f t="shared" si="9"/>
        <v>31.830914183855359</v>
      </c>
      <c r="K71" s="11">
        <f t="shared" si="10"/>
        <v>0.30249999999999994</v>
      </c>
      <c r="L71" s="11">
        <f t="shared" si="6"/>
        <v>0.18429410999999998</v>
      </c>
      <c r="M71" s="11">
        <f t="shared" si="11"/>
        <v>5.8662499999999991</v>
      </c>
    </row>
    <row r="72" spans="1:13" ht="30" x14ac:dyDescent="0.25">
      <c r="A72" s="198"/>
      <c r="B72" s="198"/>
      <c r="C72" s="14" t="s">
        <v>18</v>
      </c>
      <c r="D72" s="14" t="s">
        <v>35</v>
      </c>
      <c r="E72" s="14">
        <v>12</v>
      </c>
      <c r="F72" s="11">
        <f t="shared" si="7"/>
        <v>0.12</v>
      </c>
      <c r="G72" s="12">
        <f t="shared" si="8"/>
        <v>1.130976E-2</v>
      </c>
      <c r="H72" s="11">
        <v>11</v>
      </c>
      <c r="I72" s="33">
        <v>1</v>
      </c>
      <c r="J72" s="11">
        <f t="shared" si="9"/>
        <v>31.830914183855359</v>
      </c>
      <c r="K72" s="11">
        <f t="shared" si="10"/>
        <v>0.36</v>
      </c>
      <c r="L72" s="11">
        <f t="shared" si="6"/>
        <v>5.7020039999999994E-2</v>
      </c>
      <c r="M72" s="11">
        <f t="shared" si="11"/>
        <v>1.8149999999999997</v>
      </c>
    </row>
    <row r="73" spans="1:13" ht="30" x14ac:dyDescent="0.25">
      <c r="A73" s="198"/>
      <c r="B73" s="198"/>
      <c r="C73" s="14" t="s">
        <v>9</v>
      </c>
      <c r="D73" s="14" t="s">
        <v>10</v>
      </c>
      <c r="E73" s="14">
        <v>10</v>
      </c>
      <c r="F73" s="11">
        <f t="shared" si="7"/>
        <v>0.1</v>
      </c>
      <c r="G73" s="12">
        <f t="shared" si="8"/>
        <v>7.8540000000000016E-3</v>
      </c>
      <c r="H73" s="11">
        <v>9</v>
      </c>
      <c r="I73" s="33">
        <v>1</v>
      </c>
      <c r="J73" s="11">
        <f t="shared" si="9"/>
        <v>31.830914183855359</v>
      </c>
      <c r="K73" s="11">
        <f t="shared" si="10"/>
        <v>0.25000000000000006</v>
      </c>
      <c r="L73" s="11">
        <f t="shared" si="6"/>
        <v>6.220367999999999E-2</v>
      </c>
      <c r="M73" s="11">
        <f t="shared" si="11"/>
        <v>1.9799999999999995</v>
      </c>
    </row>
    <row r="74" spans="1:13" ht="30" x14ac:dyDescent="0.25">
      <c r="A74" s="198"/>
      <c r="B74" s="198"/>
      <c r="C74" s="14" t="s">
        <v>18</v>
      </c>
      <c r="D74" s="14" t="s">
        <v>35</v>
      </c>
      <c r="E74" s="14">
        <v>11</v>
      </c>
      <c r="F74" s="11">
        <f t="shared" si="7"/>
        <v>0.11</v>
      </c>
      <c r="G74" s="12">
        <f t="shared" si="8"/>
        <v>9.503339999999999E-3</v>
      </c>
      <c r="H74" s="11">
        <v>11</v>
      </c>
      <c r="I74" s="33">
        <v>1</v>
      </c>
      <c r="J74" s="11">
        <f t="shared" si="9"/>
        <v>31.830914183855359</v>
      </c>
      <c r="K74" s="11">
        <f t="shared" si="10"/>
        <v>0.30249999999999994</v>
      </c>
      <c r="L74" s="11">
        <f t="shared" si="6"/>
        <v>3.5343000000000006E-2</v>
      </c>
      <c r="M74" s="11">
        <f t="shared" si="11"/>
        <v>1.1250000000000002</v>
      </c>
    </row>
    <row r="75" spans="1:13" ht="30" x14ac:dyDescent="0.25">
      <c r="A75" s="198" t="s">
        <v>76</v>
      </c>
      <c r="B75" s="198" t="s">
        <v>14</v>
      </c>
      <c r="C75" s="14" t="s">
        <v>82</v>
      </c>
      <c r="D75" s="14" t="s">
        <v>83</v>
      </c>
      <c r="E75" s="14">
        <v>19</v>
      </c>
      <c r="F75" s="14">
        <f>E75/100</f>
        <v>0.19</v>
      </c>
      <c r="G75" s="12">
        <f>F75*F75*3.1416/4</f>
        <v>2.835294E-2</v>
      </c>
      <c r="H75" s="14">
        <v>12</v>
      </c>
      <c r="I75" s="33">
        <v>1</v>
      </c>
      <c r="J75" s="19">
        <f>I75*10000/314.16</f>
        <v>31.830914183855359</v>
      </c>
      <c r="K75" s="11">
        <f t="shared" si="10"/>
        <v>0.90249999999999997</v>
      </c>
      <c r="L75" s="20">
        <f>F75*F75*H75*0.5*3.1416/4</f>
        <v>0.17011764000000001</v>
      </c>
      <c r="M75" s="20">
        <f>L75*J75</f>
        <v>5.415</v>
      </c>
    </row>
    <row r="76" spans="1:13" ht="30" x14ac:dyDescent="0.25">
      <c r="A76" s="198"/>
      <c r="B76" s="198"/>
      <c r="C76" s="14" t="s">
        <v>44</v>
      </c>
      <c r="D76" s="14" t="s">
        <v>45</v>
      </c>
      <c r="E76" s="14">
        <v>26</v>
      </c>
      <c r="F76" s="14">
        <f>E76/100</f>
        <v>0.26</v>
      </c>
      <c r="G76" s="12">
        <f>F76*F76*3.1416/4</f>
        <v>5.3093040000000008E-2</v>
      </c>
      <c r="H76" s="14">
        <v>12</v>
      </c>
      <c r="I76" s="33">
        <v>1</v>
      </c>
      <c r="J76" s="19">
        <f>I76*10000/314.16</f>
        <v>31.830914183855359</v>
      </c>
      <c r="K76" s="11">
        <f t="shared" si="10"/>
        <v>1.6900000000000002</v>
      </c>
      <c r="L76" s="20">
        <f>F76*F76*H76*0.5*3.1416/4</f>
        <v>0.31855824000000005</v>
      </c>
      <c r="M76" s="20">
        <f>L76*J76</f>
        <v>10.14</v>
      </c>
    </row>
    <row r="77" spans="1:13" ht="30" x14ac:dyDescent="0.25">
      <c r="A77" s="198"/>
      <c r="B77" s="198"/>
      <c r="C77" s="14" t="s">
        <v>82</v>
      </c>
      <c r="D77" s="14" t="s">
        <v>83</v>
      </c>
      <c r="E77" s="14">
        <v>23</v>
      </c>
      <c r="F77" s="14">
        <f>E77/100</f>
        <v>0.23</v>
      </c>
      <c r="G77" s="12">
        <f>F77*F77*3.1416/4</f>
        <v>4.154766E-2</v>
      </c>
      <c r="H77" s="14">
        <v>14</v>
      </c>
      <c r="I77" s="33">
        <v>1</v>
      </c>
      <c r="J77" s="19">
        <f>I77*10000/314.16</f>
        <v>31.830914183855359</v>
      </c>
      <c r="K77" s="11">
        <f t="shared" si="10"/>
        <v>1.3225</v>
      </c>
      <c r="L77" s="20">
        <f>F77*F77*H77*0.5*3.1416/4</f>
        <v>0.29083362000000001</v>
      </c>
      <c r="M77" s="20">
        <f>L77*J77</f>
        <v>9.2575000000000003</v>
      </c>
    </row>
  </sheetData>
  <mergeCells count="10">
    <mergeCell ref="A75:A77"/>
    <mergeCell ref="B75:B77"/>
    <mergeCell ref="E1:M1"/>
    <mergeCell ref="A3:A47"/>
    <mergeCell ref="B3:B23"/>
    <mergeCell ref="B24:B39"/>
    <mergeCell ref="B40:B47"/>
    <mergeCell ref="A48:A74"/>
    <mergeCell ref="B48:B58"/>
    <mergeCell ref="B59:B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B1" workbookViewId="0">
      <selection activeCell="L7" sqref="L7"/>
    </sheetView>
  </sheetViews>
  <sheetFormatPr defaultRowHeight="15" x14ac:dyDescent="0.25"/>
  <cols>
    <col min="1" max="1" width="12" style="1" customWidth="1"/>
    <col min="2" max="2" width="13.85546875" style="1" customWidth="1"/>
    <col min="3" max="3" width="9.140625" style="1" bestFit="1" customWidth="1"/>
    <col min="4" max="4" width="9.140625" style="1" customWidth="1"/>
    <col min="5" max="5" width="11.7109375" style="1" bestFit="1" customWidth="1"/>
    <col min="6" max="6" width="11.42578125" style="1" bestFit="1" customWidth="1"/>
    <col min="7" max="7" width="15.85546875" style="1" bestFit="1" customWidth="1"/>
    <col min="8" max="8" width="10.140625" style="1" bestFit="1" customWidth="1"/>
    <col min="9" max="9" width="14" style="1" bestFit="1" customWidth="1"/>
    <col min="10" max="10" width="12.140625" style="1" bestFit="1" customWidth="1"/>
    <col min="11" max="11" width="19" style="1" bestFit="1" customWidth="1"/>
    <col min="12" max="12" width="10.140625" style="1" bestFit="1" customWidth="1"/>
    <col min="13" max="13" width="16.85546875" style="1" bestFit="1" customWidth="1"/>
    <col min="14" max="14" width="6" style="1" customWidth="1"/>
    <col min="15" max="16" width="11.5703125" style="1" bestFit="1" customWidth="1"/>
    <col min="17" max="16384" width="9.140625" style="1"/>
  </cols>
  <sheetData>
    <row r="1" spans="1:16" ht="30" x14ac:dyDescent="0.25">
      <c r="A1" s="132" t="s">
        <v>4</v>
      </c>
      <c r="B1" s="132" t="s">
        <v>5</v>
      </c>
      <c r="C1" s="132" t="s">
        <v>25</v>
      </c>
      <c r="D1" s="163" t="s">
        <v>206</v>
      </c>
      <c r="E1" s="132" t="s">
        <v>30</v>
      </c>
      <c r="F1" s="4" t="s">
        <v>208</v>
      </c>
      <c r="H1" s="4"/>
      <c r="K1" s="4"/>
      <c r="L1" s="4"/>
      <c r="M1" s="4"/>
    </row>
    <row r="2" spans="1:16" ht="30" x14ac:dyDescent="0.25">
      <c r="A2" s="131" t="s">
        <v>18</v>
      </c>
      <c r="B2" s="131" t="s">
        <v>35</v>
      </c>
      <c r="C2" s="131">
        <v>34</v>
      </c>
      <c r="D2" s="162">
        <f>C2/100</f>
        <v>0.34</v>
      </c>
      <c r="E2" s="33">
        <v>5</v>
      </c>
      <c r="F2" s="12">
        <f>D2*D2*3.1416/4</f>
        <v>9.079224000000001E-2</v>
      </c>
      <c r="H2" s="4"/>
      <c r="K2" s="4"/>
      <c r="L2" s="4"/>
      <c r="M2" s="4"/>
      <c r="N2" s="108"/>
    </row>
    <row r="3" spans="1:16" ht="30.75" thickBot="1" x14ac:dyDescent="0.3">
      <c r="A3" s="131" t="s">
        <v>18</v>
      </c>
      <c r="B3" s="131" t="s">
        <v>35</v>
      </c>
      <c r="C3" s="131">
        <v>12</v>
      </c>
      <c r="D3" s="162">
        <f t="shared" ref="D3:D66" si="0">C3/100</f>
        <v>0.12</v>
      </c>
      <c r="E3" s="11">
        <v>31.830914183855359</v>
      </c>
      <c r="F3" s="12">
        <f t="shared" ref="F3:F66" si="1">D3*D3*3.1416/4</f>
        <v>1.130976E-2</v>
      </c>
    </row>
    <row r="4" spans="1:16" ht="30.75" thickBot="1" x14ac:dyDescent="0.3">
      <c r="A4" s="131" t="s">
        <v>18</v>
      </c>
      <c r="B4" s="131" t="s">
        <v>35</v>
      </c>
      <c r="C4" s="131">
        <v>17</v>
      </c>
      <c r="D4" s="162">
        <f t="shared" si="0"/>
        <v>0.17</v>
      </c>
      <c r="E4" s="11">
        <v>31.830914183855359</v>
      </c>
      <c r="F4" s="12">
        <f t="shared" si="1"/>
        <v>2.2698060000000003E-2</v>
      </c>
      <c r="H4" s="142" t="s">
        <v>182</v>
      </c>
      <c r="I4" s="143" t="s">
        <v>193</v>
      </c>
      <c r="J4" s="143" t="s">
        <v>36</v>
      </c>
      <c r="K4" s="143" t="s">
        <v>37</v>
      </c>
      <c r="L4" s="164" t="s">
        <v>207</v>
      </c>
      <c r="M4" s="164" t="s">
        <v>209</v>
      </c>
      <c r="N4" s="175" t="s">
        <v>211</v>
      </c>
      <c r="O4" s="175" t="s">
        <v>212</v>
      </c>
    </row>
    <row r="5" spans="1:16" ht="30.75" thickBot="1" x14ac:dyDescent="0.3">
      <c r="A5" s="131" t="s">
        <v>18</v>
      </c>
      <c r="B5" s="131" t="s">
        <v>35</v>
      </c>
      <c r="C5" s="131">
        <v>15</v>
      </c>
      <c r="D5" s="162">
        <f t="shared" si="0"/>
        <v>0.15</v>
      </c>
      <c r="E5" s="11">
        <v>31.830914183855359</v>
      </c>
      <c r="F5" s="12">
        <f t="shared" si="1"/>
        <v>1.76715E-2</v>
      </c>
      <c r="H5" s="149">
        <v>10</v>
      </c>
      <c r="I5" s="150" t="s">
        <v>183</v>
      </c>
      <c r="J5" s="151">
        <v>1146</v>
      </c>
      <c r="K5" s="152">
        <f>J5/22</f>
        <v>52.090909090909093</v>
      </c>
      <c r="L5" s="167">
        <v>0.75</v>
      </c>
      <c r="M5" s="172">
        <f>L5/22</f>
        <v>3.4090909090909088E-2</v>
      </c>
      <c r="N5" s="141"/>
      <c r="O5" s="141"/>
    </row>
    <row r="6" spans="1:16" ht="30.75" thickBot="1" x14ac:dyDescent="0.3">
      <c r="A6" s="131" t="s">
        <v>18</v>
      </c>
      <c r="B6" s="131" t="s">
        <v>35</v>
      </c>
      <c r="C6" s="131">
        <v>26</v>
      </c>
      <c r="D6" s="162">
        <f t="shared" si="0"/>
        <v>0.26</v>
      </c>
      <c r="E6" s="11">
        <v>31.830914183855359</v>
      </c>
      <c r="F6" s="12">
        <f t="shared" si="1"/>
        <v>5.3093040000000008E-2</v>
      </c>
      <c r="H6" s="10">
        <f>H5+10</f>
        <v>20</v>
      </c>
      <c r="I6" s="153" t="s">
        <v>184</v>
      </c>
      <c r="J6" s="134">
        <v>1242</v>
      </c>
      <c r="K6" s="102">
        <f t="shared" ref="K6:K14" si="2">J6/22</f>
        <v>56.454545454545453</v>
      </c>
      <c r="L6" s="166">
        <v>1.62</v>
      </c>
      <c r="M6" s="172">
        <f t="shared" ref="M6:M14" si="3">L6/22</f>
        <v>7.3636363636363639E-2</v>
      </c>
      <c r="N6" s="136">
        <f>(K5+K6)/K15*100</f>
        <v>89.505247376311843</v>
      </c>
      <c r="O6" s="32">
        <f>(M5+M6)/M15*100</f>
        <v>6.2368421052631584</v>
      </c>
    </row>
    <row r="7" spans="1:16" ht="30.75" thickBot="1" x14ac:dyDescent="0.3">
      <c r="A7" s="131" t="s">
        <v>18</v>
      </c>
      <c r="B7" s="131" t="s">
        <v>35</v>
      </c>
      <c r="C7" s="131">
        <v>20</v>
      </c>
      <c r="D7" s="162">
        <f t="shared" si="0"/>
        <v>0.2</v>
      </c>
      <c r="E7" s="11">
        <v>31.830914183855359</v>
      </c>
      <c r="F7" s="12">
        <f t="shared" si="1"/>
        <v>3.1416000000000006E-2</v>
      </c>
      <c r="H7" s="144">
        <f t="shared" ref="H7:H14" si="4">H6+10</f>
        <v>30</v>
      </c>
      <c r="I7" s="145" t="s">
        <v>185</v>
      </c>
      <c r="J7" s="146">
        <v>135</v>
      </c>
      <c r="K7" s="147">
        <f t="shared" si="2"/>
        <v>6.1363636363636367</v>
      </c>
      <c r="L7" s="168">
        <v>2.4900000000000002</v>
      </c>
      <c r="M7" s="172">
        <f t="shared" si="3"/>
        <v>0.11318181818181819</v>
      </c>
      <c r="N7" s="148"/>
      <c r="O7" s="148"/>
    </row>
    <row r="8" spans="1:16" ht="30.75" thickBot="1" x14ac:dyDescent="0.3">
      <c r="A8" s="131" t="s">
        <v>18</v>
      </c>
      <c r="B8" s="131" t="s">
        <v>35</v>
      </c>
      <c r="C8" s="131">
        <v>18</v>
      </c>
      <c r="D8" s="162">
        <f t="shared" si="0"/>
        <v>0.18</v>
      </c>
      <c r="E8" s="11">
        <v>31.830914183855359</v>
      </c>
      <c r="F8" s="12">
        <f t="shared" si="1"/>
        <v>2.5446959999999998E-2</v>
      </c>
      <c r="H8" s="133">
        <f t="shared" si="4"/>
        <v>40</v>
      </c>
      <c r="I8" s="140" t="s">
        <v>186</v>
      </c>
      <c r="J8" s="131">
        <v>55</v>
      </c>
      <c r="K8" s="33">
        <f t="shared" si="2"/>
        <v>2.5</v>
      </c>
      <c r="L8" s="169">
        <v>1.62</v>
      </c>
      <c r="M8" s="172">
        <f t="shared" si="3"/>
        <v>7.3636363636363639E-2</v>
      </c>
      <c r="N8" s="135"/>
      <c r="O8" s="173"/>
    </row>
    <row r="9" spans="1:16" ht="30.75" thickBot="1" x14ac:dyDescent="0.3">
      <c r="A9" s="131" t="s">
        <v>18</v>
      </c>
      <c r="B9" s="131" t="s">
        <v>35</v>
      </c>
      <c r="C9" s="131">
        <v>13</v>
      </c>
      <c r="D9" s="162">
        <f t="shared" si="0"/>
        <v>0.13</v>
      </c>
      <c r="E9" s="11">
        <v>31.830914183855359</v>
      </c>
      <c r="F9" s="12">
        <f t="shared" si="1"/>
        <v>1.3273260000000002E-2</v>
      </c>
      <c r="H9" s="133">
        <f t="shared" si="4"/>
        <v>50</v>
      </c>
      <c r="I9" s="140" t="s">
        <v>187</v>
      </c>
      <c r="J9" s="131">
        <v>10</v>
      </c>
      <c r="K9" s="19">
        <f t="shared" si="2"/>
        <v>0.45454545454545453</v>
      </c>
      <c r="L9" s="169">
        <v>0.43</v>
      </c>
      <c r="M9" s="172">
        <f t="shared" si="3"/>
        <v>1.9545454545454546E-2</v>
      </c>
      <c r="N9" s="135"/>
      <c r="O9" s="173"/>
    </row>
    <row r="10" spans="1:16" ht="30.75" thickBot="1" x14ac:dyDescent="0.3">
      <c r="A10" s="131" t="s">
        <v>18</v>
      </c>
      <c r="B10" s="131" t="s">
        <v>35</v>
      </c>
      <c r="C10" s="131">
        <v>13</v>
      </c>
      <c r="D10" s="162">
        <f t="shared" si="0"/>
        <v>0.13</v>
      </c>
      <c r="E10" s="11">
        <v>31.830914183855359</v>
      </c>
      <c r="F10" s="12">
        <f t="shared" si="1"/>
        <v>1.3273260000000002E-2</v>
      </c>
      <c r="H10" s="133">
        <f t="shared" si="4"/>
        <v>60</v>
      </c>
      <c r="I10" s="140" t="s">
        <v>188</v>
      </c>
      <c r="J10" s="131">
        <v>5</v>
      </c>
      <c r="K10" s="19">
        <f t="shared" si="2"/>
        <v>0.22727272727272727</v>
      </c>
      <c r="L10" s="169">
        <v>0.28000000000000003</v>
      </c>
      <c r="M10" s="172">
        <f t="shared" si="3"/>
        <v>1.2727272727272728E-2</v>
      </c>
      <c r="N10" s="135"/>
      <c r="O10" s="173"/>
    </row>
    <row r="11" spans="1:16" ht="30.75" thickBot="1" x14ac:dyDescent="0.3">
      <c r="A11" s="131" t="s">
        <v>18</v>
      </c>
      <c r="B11" s="131" t="s">
        <v>35</v>
      </c>
      <c r="C11" s="131">
        <v>20</v>
      </c>
      <c r="D11" s="162">
        <f t="shared" si="0"/>
        <v>0.2</v>
      </c>
      <c r="E11" s="11">
        <v>31.830914183855359</v>
      </c>
      <c r="F11" s="12">
        <f t="shared" si="1"/>
        <v>3.1416000000000006E-2</v>
      </c>
      <c r="H11" s="133">
        <f t="shared" si="4"/>
        <v>70</v>
      </c>
      <c r="I11" s="140" t="s">
        <v>189</v>
      </c>
      <c r="J11" s="131">
        <v>0</v>
      </c>
      <c r="K11" s="33">
        <f t="shared" si="2"/>
        <v>0</v>
      </c>
      <c r="L11" s="165">
        <v>0</v>
      </c>
      <c r="M11" s="172">
        <f t="shared" si="3"/>
        <v>0</v>
      </c>
      <c r="N11" s="135"/>
      <c r="O11" s="173"/>
    </row>
    <row r="12" spans="1:16" ht="30.75" thickBot="1" x14ac:dyDescent="0.3">
      <c r="A12" s="131" t="s">
        <v>18</v>
      </c>
      <c r="B12" s="131" t="s">
        <v>35</v>
      </c>
      <c r="C12" s="131">
        <v>15</v>
      </c>
      <c r="D12" s="162">
        <f t="shared" si="0"/>
        <v>0.15</v>
      </c>
      <c r="E12" s="11">
        <v>31.830914183855359</v>
      </c>
      <c r="F12" s="12">
        <f t="shared" si="1"/>
        <v>1.76715E-2</v>
      </c>
      <c r="H12" s="133">
        <f t="shared" si="4"/>
        <v>80</v>
      </c>
      <c r="I12" s="140" t="s">
        <v>190</v>
      </c>
      <c r="J12" s="131">
        <v>0</v>
      </c>
      <c r="K12" s="33">
        <f t="shared" si="2"/>
        <v>0</v>
      </c>
      <c r="L12" s="165">
        <v>0</v>
      </c>
      <c r="M12" s="172">
        <f t="shared" si="3"/>
        <v>0</v>
      </c>
      <c r="N12" s="135"/>
      <c r="O12" s="173"/>
    </row>
    <row r="13" spans="1:16" ht="30.75" thickBot="1" x14ac:dyDescent="0.3">
      <c r="A13" s="131" t="s">
        <v>18</v>
      </c>
      <c r="B13" s="131" t="s">
        <v>35</v>
      </c>
      <c r="C13" s="131">
        <v>13</v>
      </c>
      <c r="D13" s="162">
        <f t="shared" si="0"/>
        <v>0.13</v>
      </c>
      <c r="E13" s="11">
        <v>31.830914183855359</v>
      </c>
      <c r="F13" s="12">
        <f t="shared" si="1"/>
        <v>1.3273260000000002E-2</v>
      </c>
      <c r="H13" s="133">
        <f t="shared" si="4"/>
        <v>90</v>
      </c>
      <c r="I13" s="140" t="s">
        <v>191</v>
      </c>
      <c r="J13" s="131">
        <v>0</v>
      </c>
      <c r="K13" s="33">
        <f t="shared" si="2"/>
        <v>0</v>
      </c>
      <c r="L13" s="165">
        <v>0</v>
      </c>
      <c r="M13" s="172">
        <f t="shared" si="3"/>
        <v>0</v>
      </c>
      <c r="N13" s="135"/>
      <c r="O13" s="173"/>
    </row>
    <row r="14" spans="1:16" ht="30.75" thickBot="1" x14ac:dyDescent="0.3">
      <c r="A14" s="131" t="s">
        <v>18</v>
      </c>
      <c r="B14" s="131" t="s">
        <v>35</v>
      </c>
      <c r="C14" s="131">
        <v>21</v>
      </c>
      <c r="D14" s="162">
        <f t="shared" si="0"/>
        <v>0.21</v>
      </c>
      <c r="E14" s="11">
        <v>31.830914183855359</v>
      </c>
      <c r="F14" s="12">
        <f t="shared" si="1"/>
        <v>3.4636139999999996E-2</v>
      </c>
      <c r="H14" s="154">
        <f t="shared" si="4"/>
        <v>100</v>
      </c>
      <c r="I14" s="155" t="s">
        <v>192</v>
      </c>
      <c r="J14" s="156">
        <v>75</v>
      </c>
      <c r="K14" s="111">
        <f t="shared" si="2"/>
        <v>3.4090909090909092</v>
      </c>
      <c r="L14" s="170">
        <v>30.81</v>
      </c>
      <c r="M14" s="172">
        <f t="shared" si="3"/>
        <v>1.4004545454545454</v>
      </c>
      <c r="N14" s="157">
        <f>SUM(K7:K14)/K15*100</f>
        <v>10.494752623688154</v>
      </c>
      <c r="O14" s="115">
        <f>SUM(M7:M14)/M15*100</f>
        <v>93.763157894736835</v>
      </c>
      <c r="P14" s="176"/>
    </row>
    <row r="15" spans="1:16" ht="30.75" thickBot="1" x14ac:dyDescent="0.3">
      <c r="A15" s="131" t="s">
        <v>18</v>
      </c>
      <c r="B15" s="131" t="s">
        <v>35</v>
      </c>
      <c r="C15" s="131">
        <v>12</v>
      </c>
      <c r="D15" s="162">
        <f t="shared" si="0"/>
        <v>0.12</v>
      </c>
      <c r="E15" s="11">
        <v>31.830914183855359</v>
      </c>
      <c r="F15" s="12">
        <f t="shared" si="1"/>
        <v>1.130976E-2</v>
      </c>
      <c r="H15" s="199" t="s">
        <v>127</v>
      </c>
      <c r="I15" s="200"/>
      <c r="J15" s="201"/>
      <c r="K15" s="158">
        <f>SUM(K5:K14)</f>
        <v>121.27272727272728</v>
      </c>
      <c r="L15" s="171">
        <f>SUM(L5:L14)</f>
        <v>38</v>
      </c>
      <c r="M15" s="171">
        <f>SUM(M5:M14)</f>
        <v>1.7272727272727273</v>
      </c>
      <c r="N15" s="159">
        <f>SUM(N5:N14)</f>
        <v>100</v>
      </c>
      <c r="O15" s="159">
        <f>SUM(O5:O14)</f>
        <v>100</v>
      </c>
    </row>
    <row r="16" spans="1:16" ht="30" x14ac:dyDescent="0.25">
      <c r="A16" s="131" t="s">
        <v>18</v>
      </c>
      <c r="B16" s="131" t="s">
        <v>35</v>
      </c>
      <c r="C16" s="131">
        <v>15</v>
      </c>
      <c r="D16" s="162">
        <f t="shared" si="0"/>
        <v>0.15</v>
      </c>
      <c r="E16" s="11">
        <v>31.830914183855359</v>
      </c>
      <c r="F16" s="12">
        <f t="shared" si="1"/>
        <v>1.76715E-2</v>
      </c>
    </row>
    <row r="17" spans="1:8" ht="30" x14ac:dyDescent="0.25">
      <c r="A17" s="131" t="s">
        <v>18</v>
      </c>
      <c r="B17" s="131" t="s">
        <v>35</v>
      </c>
      <c r="C17" s="131">
        <v>18</v>
      </c>
      <c r="D17" s="162">
        <f t="shared" si="0"/>
        <v>0.18</v>
      </c>
      <c r="E17" s="11">
        <v>31.830914183855359</v>
      </c>
      <c r="F17" s="12">
        <f t="shared" si="1"/>
        <v>2.5446959999999998E-2</v>
      </c>
      <c r="H17" s="139"/>
    </row>
    <row r="18" spans="1:8" ht="30" x14ac:dyDescent="0.25">
      <c r="A18" s="131" t="s">
        <v>18</v>
      </c>
      <c r="B18" s="131" t="s">
        <v>35</v>
      </c>
      <c r="C18" s="131">
        <v>16</v>
      </c>
      <c r="D18" s="162">
        <f t="shared" si="0"/>
        <v>0.16</v>
      </c>
      <c r="E18" s="11">
        <v>31.830914183855359</v>
      </c>
      <c r="F18" s="12">
        <f t="shared" si="1"/>
        <v>2.0106240000000001E-2</v>
      </c>
      <c r="H18" s="139"/>
    </row>
    <row r="19" spans="1:8" ht="30" x14ac:dyDescent="0.25">
      <c r="A19" s="131" t="s">
        <v>18</v>
      </c>
      <c r="B19" s="131" t="s">
        <v>35</v>
      </c>
      <c r="C19" s="131">
        <v>19</v>
      </c>
      <c r="D19" s="162">
        <f t="shared" si="0"/>
        <v>0.19</v>
      </c>
      <c r="E19" s="11">
        <v>31.830914183855359</v>
      </c>
      <c r="F19" s="12">
        <f t="shared" si="1"/>
        <v>2.835294E-2</v>
      </c>
    </row>
    <row r="20" spans="1:8" ht="30" x14ac:dyDescent="0.25">
      <c r="A20" s="131" t="s">
        <v>18</v>
      </c>
      <c r="B20" s="131" t="s">
        <v>35</v>
      </c>
      <c r="C20" s="131">
        <v>11</v>
      </c>
      <c r="D20" s="162">
        <f t="shared" si="0"/>
        <v>0.11</v>
      </c>
      <c r="E20" s="11">
        <v>31.830914183855359</v>
      </c>
      <c r="F20" s="12">
        <f t="shared" si="1"/>
        <v>9.503339999999999E-3</v>
      </c>
    </row>
    <row r="21" spans="1:8" ht="30" x14ac:dyDescent="0.25">
      <c r="A21" s="131" t="s">
        <v>18</v>
      </c>
      <c r="B21" s="131" t="s">
        <v>35</v>
      </c>
      <c r="C21" s="131">
        <v>12</v>
      </c>
      <c r="D21" s="162">
        <f t="shared" si="0"/>
        <v>0.12</v>
      </c>
      <c r="E21" s="11">
        <v>31.830914183855359</v>
      </c>
      <c r="F21" s="12">
        <f t="shared" si="1"/>
        <v>1.130976E-2</v>
      </c>
      <c r="H21" s="139"/>
    </row>
    <row r="22" spans="1:8" ht="30" x14ac:dyDescent="0.25">
      <c r="A22" s="131" t="s">
        <v>18</v>
      </c>
      <c r="B22" s="131" t="s">
        <v>35</v>
      </c>
      <c r="C22" s="131">
        <v>11</v>
      </c>
      <c r="D22" s="162">
        <f t="shared" si="0"/>
        <v>0.11</v>
      </c>
      <c r="E22" s="11">
        <v>31.830914183855359</v>
      </c>
      <c r="F22" s="12">
        <f t="shared" si="1"/>
        <v>9.503339999999999E-3</v>
      </c>
    </row>
    <row r="23" spans="1:8" ht="30" x14ac:dyDescent="0.25">
      <c r="A23" s="131" t="s">
        <v>92</v>
      </c>
      <c r="B23" s="131" t="s">
        <v>93</v>
      </c>
      <c r="C23" s="131">
        <v>160</v>
      </c>
      <c r="D23" s="162">
        <f t="shared" si="0"/>
        <v>1.6</v>
      </c>
      <c r="E23" s="33">
        <v>5</v>
      </c>
      <c r="F23" s="12">
        <f t="shared" si="1"/>
        <v>2.0106240000000004</v>
      </c>
    </row>
    <row r="24" spans="1:8" ht="30" x14ac:dyDescent="0.25">
      <c r="A24" s="131" t="s">
        <v>40</v>
      </c>
      <c r="B24" s="131" t="s">
        <v>41</v>
      </c>
      <c r="C24" s="131">
        <v>32</v>
      </c>
      <c r="D24" s="162">
        <f t="shared" si="0"/>
        <v>0.32</v>
      </c>
      <c r="E24" s="33">
        <v>5</v>
      </c>
      <c r="F24" s="12">
        <f t="shared" si="1"/>
        <v>8.0424960000000004E-2</v>
      </c>
    </row>
    <row r="25" spans="1:8" ht="30" x14ac:dyDescent="0.25">
      <c r="A25" s="131" t="s">
        <v>94</v>
      </c>
      <c r="B25" s="131" t="s">
        <v>95</v>
      </c>
      <c r="C25" s="131">
        <v>142</v>
      </c>
      <c r="D25" s="162">
        <f t="shared" si="0"/>
        <v>1.42</v>
      </c>
      <c r="E25" s="33">
        <v>5</v>
      </c>
      <c r="F25" s="12">
        <f t="shared" si="1"/>
        <v>1.5836805599999999</v>
      </c>
    </row>
    <row r="26" spans="1:8" ht="30" x14ac:dyDescent="0.25">
      <c r="A26" s="131" t="s">
        <v>21</v>
      </c>
      <c r="B26" s="131" t="s">
        <v>22</v>
      </c>
      <c r="C26" s="131">
        <v>13</v>
      </c>
      <c r="D26" s="162">
        <f t="shared" si="0"/>
        <v>0.13</v>
      </c>
      <c r="E26" s="11">
        <v>31.830914183855359</v>
      </c>
      <c r="F26" s="12">
        <f t="shared" si="1"/>
        <v>1.3273260000000002E-2</v>
      </c>
    </row>
    <row r="27" spans="1:8" x14ac:dyDescent="0.25">
      <c r="A27" s="131" t="s">
        <v>16</v>
      </c>
      <c r="B27" s="131" t="s">
        <v>17</v>
      </c>
      <c r="C27" s="131">
        <v>31</v>
      </c>
      <c r="D27" s="162">
        <f t="shared" si="0"/>
        <v>0.31</v>
      </c>
      <c r="E27" s="33">
        <v>5</v>
      </c>
      <c r="F27" s="12">
        <f t="shared" si="1"/>
        <v>7.5476940000000006E-2</v>
      </c>
    </row>
    <row r="28" spans="1:8" x14ac:dyDescent="0.25">
      <c r="A28" s="131" t="s">
        <v>16</v>
      </c>
      <c r="B28" s="131" t="s">
        <v>17</v>
      </c>
      <c r="C28" s="131">
        <v>25</v>
      </c>
      <c r="D28" s="162">
        <f t="shared" si="0"/>
        <v>0.25</v>
      </c>
      <c r="E28" s="11">
        <v>31.830914183855359</v>
      </c>
      <c r="F28" s="12">
        <f t="shared" si="1"/>
        <v>4.9087499999999999E-2</v>
      </c>
    </row>
    <row r="29" spans="1:8" x14ac:dyDescent="0.25">
      <c r="A29" s="131" t="s">
        <v>16</v>
      </c>
      <c r="B29" s="131" t="s">
        <v>17</v>
      </c>
      <c r="C29" s="131">
        <v>26</v>
      </c>
      <c r="D29" s="162">
        <f t="shared" si="0"/>
        <v>0.26</v>
      </c>
      <c r="E29" s="11">
        <v>31.830914183855359</v>
      </c>
      <c r="F29" s="12">
        <f t="shared" si="1"/>
        <v>5.3093040000000008E-2</v>
      </c>
    </row>
    <row r="30" spans="1:8" ht="30" x14ac:dyDescent="0.25">
      <c r="A30" s="131" t="s">
        <v>79</v>
      </c>
      <c r="B30" s="131" t="s">
        <v>80</v>
      </c>
      <c r="C30" s="131">
        <v>34</v>
      </c>
      <c r="D30" s="162">
        <f t="shared" si="0"/>
        <v>0.34</v>
      </c>
      <c r="E30" s="33">
        <v>5</v>
      </c>
      <c r="F30" s="12">
        <f t="shared" si="1"/>
        <v>9.079224000000001E-2</v>
      </c>
    </row>
    <row r="31" spans="1:8" ht="30" x14ac:dyDescent="0.25">
      <c r="A31" s="131" t="s">
        <v>79</v>
      </c>
      <c r="B31" s="131" t="s">
        <v>80</v>
      </c>
      <c r="C31" s="131">
        <v>42</v>
      </c>
      <c r="D31" s="162">
        <f t="shared" si="0"/>
        <v>0.42</v>
      </c>
      <c r="E31" s="33">
        <v>5</v>
      </c>
      <c r="F31" s="12">
        <f t="shared" si="1"/>
        <v>0.13854455999999998</v>
      </c>
    </row>
    <row r="32" spans="1:8" ht="30" x14ac:dyDescent="0.25">
      <c r="A32" s="131" t="s">
        <v>7</v>
      </c>
      <c r="B32" s="131" t="s">
        <v>8</v>
      </c>
      <c r="C32" s="131">
        <v>30</v>
      </c>
      <c r="D32" s="162">
        <f t="shared" si="0"/>
        <v>0.3</v>
      </c>
      <c r="E32" s="33">
        <v>5</v>
      </c>
      <c r="F32" s="12">
        <f t="shared" si="1"/>
        <v>7.0685999999999999E-2</v>
      </c>
    </row>
    <row r="33" spans="1:8" ht="30" x14ac:dyDescent="0.25">
      <c r="A33" s="131" t="s">
        <v>7</v>
      </c>
      <c r="B33" s="131" t="s">
        <v>8</v>
      </c>
      <c r="C33" s="131">
        <v>32</v>
      </c>
      <c r="D33" s="162">
        <f t="shared" si="0"/>
        <v>0.32</v>
      </c>
      <c r="E33" s="33">
        <v>5</v>
      </c>
      <c r="F33" s="12">
        <f t="shared" si="1"/>
        <v>8.0424960000000004E-2</v>
      </c>
    </row>
    <row r="34" spans="1:8" ht="30" x14ac:dyDescent="0.25">
      <c r="A34" s="131" t="s">
        <v>7</v>
      </c>
      <c r="B34" s="131" t="s">
        <v>8</v>
      </c>
      <c r="C34" s="131">
        <v>30</v>
      </c>
      <c r="D34" s="162">
        <f t="shared" si="0"/>
        <v>0.3</v>
      </c>
      <c r="E34" s="33">
        <v>5</v>
      </c>
      <c r="F34" s="12">
        <f t="shared" si="1"/>
        <v>7.0685999999999999E-2</v>
      </c>
    </row>
    <row r="35" spans="1:8" ht="30" x14ac:dyDescent="0.25">
      <c r="A35" s="131" t="s">
        <v>7</v>
      </c>
      <c r="B35" s="131" t="s">
        <v>8</v>
      </c>
      <c r="C35" s="131">
        <v>33</v>
      </c>
      <c r="D35" s="162">
        <f t="shared" si="0"/>
        <v>0.33</v>
      </c>
      <c r="E35" s="33">
        <v>5</v>
      </c>
      <c r="F35" s="12">
        <f t="shared" si="1"/>
        <v>8.5530060000000005E-2</v>
      </c>
    </row>
    <row r="36" spans="1:8" ht="30" x14ac:dyDescent="0.25">
      <c r="A36" s="131" t="s">
        <v>7</v>
      </c>
      <c r="B36" s="131" t="s">
        <v>8</v>
      </c>
      <c r="C36" s="131">
        <v>38</v>
      </c>
      <c r="D36" s="162">
        <f t="shared" si="0"/>
        <v>0.38</v>
      </c>
      <c r="E36" s="33">
        <v>5</v>
      </c>
      <c r="F36" s="12">
        <f t="shared" si="1"/>
        <v>0.11341176</v>
      </c>
    </row>
    <row r="37" spans="1:8" ht="30" x14ac:dyDescent="0.25">
      <c r="A37" s="131" t="s">
        <v>7</v>
      </c>
      <c r="B37" s="131" t="s">
        <v>8</v>
      </c>
      <c r="C37" s="131">
        <v>40</v>
      </c>
      <c r="D37" s="162">
        <f t="shared" si="0"/>
        <v>0.4</v>
      </c>
      <c r="E37" s="33">
        <v>5</v>
      </c>
      <c r="F37" s="12">
        <f t="shared" si="1"/>
        <v>0.12566400000000003</v>
      </c>
    </row>
    <row r="38" spans="1:8" ht="30" x14ac:dyDescent="0.25">
      <c r="A38" s="131" t="s">
        <v>7</v>
      </c>
      <c r="B38" s="131" t="s">
        <v>8</v>
      </c>
      <c r="C38" s="131">
        <v>31</v>
      </c>
      <c r="D38" s="162">
        <f t="shared" si="0"/>
        <v>0.31</v>
      </c>
      <c r="E38" s="33">
        <v>5</v>
      </c>
      <c r="F38" s="12">
        <f t="shared" si="1"/>
        <v>7.5476940000000006E-2</v>
      </c>
    </row>
    <row r="39" spans="1:8" ht="30" x14ac:dyDescent="0.25">
      <c r="A39" s="131" t="s">
        <v>7</v>
      </c>
      <c r="B39" s="131" t="s">
        <v>8</v>
      </c>
      <c r="C39" s="131">
        <v>39</v>
      </c>
      <c r="D39" s="162">
        <f t="shared" si="0"/>
        <v>0.39</v>
      </c>
      <c r="E39" s="33">
        <v>5</v>
      </c>
      <c r="F39" s="12">
        <f t="shared" si="1"/>
        <v>0.11945934000000001</v>
      </c>
    </row>
    <row r="40" spans="1:8" ht="30" x14ac:dyDescent="0.25">
      <c r="A40" s="131" t="s">
        <v>7</v>
      </c>
      <c r="B40" s="131" t="s">
        <v>8</v>
      </c>
      <c r="C40" s="131">
        <v>40</v>
      </c>
      <c r="D40" s="162">
        <f t="shared" si="0"/>
        <v>0.4</v>
      </c>
      <c r="E40" s="33">
        <v>5</v>
      </c>
      <c r="F40" s="12">
        <f t="shared" si="1"/>
        <v>0.12566400000000003</v>
      </c>
    </row>
    <row r="41" spans="1:8" ht="30" x14ac:dyDescent="0.25">
      <c r="A41" s="131" t="s">
        <v>7</v>
      </c>
      <c r="B41" s="131" t="s">
        <v>8</v>
      </c>
      <c r="C41" s="131">
        <v>36</v>
      </c>
      <c r="D41" s="162">
        <f t="shared" si="0"/>
        <v>0.36</v>
      </c>
      <c r="E41" s="33">
        <v>5</v>
      </c>
      <c r="F41" s="12">
        <f t="shared" si="1"/>
        <v>0.10178783999999999</v>
      </c>
    </row>
    <row r="42" spans="1:8" ht="30" x14ac:dyDescent="0.25">
      <c r="A42" s="131" t="s">
        <v>7</v>
      </c>
      <c r="B42" s="131" t="s">
        <v>8</v>
      </c>
      <c r="C42" s="131">
        <v>36</v>
      </c>
      <c r="D42" s="162">
        <f t="shared" si="0"/>
        <v>0.36</v>
      </c>
      <c r="E42" s="33">
        <v>5</v>
      </c>
      <c r="F42" s="12">
        <f t="shared" si="1"/>
        <v>0.10178783999999999</v>
      </c>
    </row>
    <row r="43" spans="1:8" ht="30" x14ac:dyDescent="0.25">
      <c r="A43" s="131" t="s">
        <v>7</v>
      </c>
      <c r="B43" s="131" t="s">
        <v>8</v>
      </c>
      <c r="C43" s="131">
        <v>39</v>
      </c>
      <c r="D43" s="162">
        <f t="shared" si="0"/>
        <v>0.39</v>
      </c>
      <c r="E43" s="33">
        <v>5</v>
      </c>
      <c r="F43" s="12">
        <f t="shared" si="1"/>
        <v>0.11945934000000001</v>
      </c>
      <c r="H43" s="139"/>
    </row>
    <row r="44" spans="1:8" ht="30" x14ac:dyDescent="0.25">
      <c r="A44" s="131" t="s">
        <v>7</v>
      </c>
      <c r="B44" s="131" t="s">
        <v>8</v>
      </c>
      <c r="C44" s="131">
        <v>47</v>
      </c>
      <c r="D44" s="162">
        <f t="shared" si="0"/>
        <v>0.47</v>
      </c>
      <c r="E44" s="33">
        <v>5</v>
      </c>
      <c r="F44" s="12">
        <f t="shared" si="1"/>
        <v>0.17349485999999997</v>
      </c>
    </row>
    <row r="45" spans="1:8" ht="30" x14ac:dyDescent="0.25">
      <c r="A45" s="131" t="s">
        <v>7</v>
      </c>
      <c r="B45" s="131" t="s">
        <v>8</v>
      </c>
      <c r="C45" s="131">
        <v>41</v>
      </c>
      <c r="D45" s="162">
        <f t="shared" si="0"/>
        <v>0.41</v>
      </c>
      <c r="E45" s="33">
        <v>5</v>
      </c>
      <c r="F45" s="12">
        <f t="shared" si="1"/>
        <v>0.13202573999999997</v>
      </c>
    </row>
    <row r="46" spans="1:8" ht="30" x14ac:dyDescent="0.25">
      <c r="A46" s="131" t="s">
        <v>7</v>
      </c>
      <c r="B46" s="131" t="s">
        <v>8</v>
      </c>
      <c r="C46" s="131">
        <v>39</v>
      </c>
      <c r="D46" s="162">
        <f t="shared" si="0"/>
        <v>0.39</v>
      </c>
      <c r="E46" s="33">
        <v>5</v>
      </c>
      <c r="F46" s="12">
        <f t="shared" si="1"/>
        <v>0.11945934000000001</v>
      </c>
    </row>
    <row r="47" spans="1:8" ht="30" x14ac:dyDescent="0.25">
      <c r="A47" s="131" t="s">
        <v>7</v>
      </c>
      <c r="B47" s="131" t="s">
        <v>8</v>
      </c>
      <c r="C47" s="131">
        <v>45</v>
      </c>
      <c r="D47" s="162">
        <f t="shared" si="0"/>
        <v>0.45</v>
      </c>
      <c r="E47" s="33">
        <v>5</v>
      </c>
      <c r="F47" s="12">
        <f t="shared" si="1"/>
        <v>0.1590435</v>
      </c>
    </row>
    <row r="48" spans="1:8" ht="30" x14ac:dyDescent="0.25">
      <c r="A48" s="131" t="s">
        <v>7</v>
      </c>
      <c r="B48" s="131" t="s">
        <v>8</v>
      </c>
      <c r="C48" s="131">
        <v>33</v>
      </c>
      <c r="D48" s="162">
        <f t="shared" si="0"/>
        <v>0.33</v>
      </c>
      <c r="E48" s="33">
        <v>5</v>
      </c>
      <c r="F48" s="12">
        <f t="shared" si="1"/>
        <v>8.5530060000000005E-2</v>
      </c>
    </row>
    <row r="49" spans="1:8" ht="30" x14ac:dyDescent="0.25">
      <c r="A49" s="131" t="s">
        <v>7</v>
      </c>
      <c r="B49" s="131" t="s">
        <v>8</v>
      </c>
      <c r="C49" s="131">
        <v>31</v>
      </c>
      <c r="D49" s="162">
        <f t="shared" si="0"/>
        <v>0.31</v>
      </c>
      <c r="E49" s="33">
        <v>5</v>
      </c>
      <c r="F49" s="12">
        <f t="shared" si="1"/>
        <v>7.5476940000000006E-2</v>
      </c>
    </row>
    <row r="50" spans="1:8" ht="30" x14ac:dyDescent="0.25">
      <c r="A50" s="131" t="s">
        <v>7</v>
      </c>
      <c r="B50" s="131" t="s">
        <v>8</v>
      </c>
      <c r="C50" s="131">
        <v>39</v>
      </c>
      <c r="D50" s="162">
        <f t="shared" si="0"/>
        <v>0.39</v>
      </c>
      <c r="E50" s="33">
        <v>5</v>
      </c>
      <c r="F50" s="12">
        <f t="shared" si="1"/>
        <v>0.11945934000000001</v>
      </c>
    </row>
    <row r="51" spans="1:8" ht="30" x14ac:dyDescent="0.25">
      <c r="A51" s="131" t="s">
        <v>7</v>
      </c>
      <c r="B51" s="131" t="s">
        <v>8</v>
      </c>
      <c r="C51" s="131">
        <v>53</v>
      </c>
      <c r="D51" s="162">
        <f t="shared" si="0"/>
        <v>0.53</v>
      </c>
      <c r="E51" s="33">
        <v>5</v>
      </c>
      <c r="F51" s="12">
        <f t="shared" si="1"/>
        <v>0.22061886000000003</v>
      </c>
    </row>
    <row r="52" spans="1:8" ht="30" x14ac:dyDescent="0.25">
      <c r="A52" s="131" t="s">
        <v>7</v>
      </c>
      <c r="B52" s="131" t="s">
        <v>8</v>
      </c>
      <c r="C52" s="131">
        <v>46</v>
      </c>
      <c r="D52" s="162">
        <f t="shared" si="0"/>
        <v>0.46</v>
      </c>
      <c r="E52" s="33">
        <v>5</v>
      </c>
      <c r="F52" s="12">
        <f t="shared" si="1"/>
        <v>0.16619064</v>
      </c>
    </row>
    <row r="53" spans="1:8" ht="30" x14ac:dyDescent="0.25">
      <c r="A53" s="131" t="s">
        <v>7</v>
      </c>
      <c r="B53" s="131" t="s">
        <v>8</v>
      </c>
      <c r="C53" s="131">
        <v>31</v>
      </c>
      <c r="D53" s="162">
        <f t="shared" si="0"/>
        <v>0.31</v>
      </c>
      <c r="E53" s="33">
        <v>5</v>
      </c>
      <c r="F53" s="12">
        <f t="shared" si="1"/>
        <v>7.5476940000000006E-2</v>
      </c>
    </row>
    <row r="54" spans="1:8" ht="30" x14ac:dyDescent="0.25">
      <c r="A54" s="131" t="s">
        <v>7</v>
      </c>
      <c r="B54" s="131" t="s">
        <v>8</v>
      </c>
      <c r="C54" s="131">
        <v>31</v>
      </c>
      <c r="D54" s="162">
        <f t="shared" si="0"/>
        <v>0.31</v>
      </c>
      <c r="E54" s="33">
        <v>5</v>
      </c>
      <c r="F54" s="12">
        <f t="shared" si="1"/>
        <v>7.5476940000000006E-2</v>
      </c>
    </row>
    <row r="55" spans="1:8" ht="30" x14ac:dyDescent="0.25">
      <c r="A55" s="131" t="s">
        <v>7</v>
      </c>
      <c r="B55" s="131" t="s">
        <v>8</v>
      </c>
      <c r="C55" s="131">
        <v>33</v>
      </c>
      <c r="D55" s="162">
        <f t="shared" si="0"/>
        <v>0.33</v>
      </c>
      <c r="E55" s="33">
        <v>5</v>
      </c>
      <c r="F55" s="12">
        <f t="shared" si="1"/>
        <v>8.5530060000000005E-2</v>
      </c>
    </row>
    <row r="56" spans="1:8" ht="30" x14ac:dyDescent="0.25">
      <c r="A56" s="131" t="s">
        <v>7</v>
      </c>
      <c r="B56" s="131" t="s">
        <v>8</v>
      </c>
      <c r="C56" s="131">
        <v>45</v>
      </c>
      <c r="D56" s="162">
        <f t="shared" si="0"/>
        <v>0.45</v>
      </c>
      <c r="E56" s="33">
        <v>5</v>
      </c>
      <c r="F56" s="12">
        <f t="shared" si="1"/>
        <v>0.1590435</v>
      </c>
    </row>
    <row r="57" spans="1:8" ht="30" x14ac:dyDescent="0.25">
      <c r="A57" s="131" t="s">
        <v>7</v>
      </c>
      <c r="B57" s="131" t="s">
        <v>8</v>
      </c>
      <c r="C57" s="131">
        <v>60</v>
      </c>
      <c r="D57" s="162">
        <f t="shared" si="0"/>
        <v>0.6</v>
      </c>
      <c r="E57" s="33">
        <v>5</v>
      </c>
      <c r="F57" s="12">
        <f t="shared" si="1"/>
        <v>0.282744</v>
      </c>
    </row>
    <row r="58" spans="1:8" ht="30" x14ac:dyDescent="0.25">
      <c r="A58" s="131" t="s">
        <v>7</v>
      </c>
      <c r="B58" s="131" t="s">
        <v>8</v>
      </c>
      <c r="C58" s="131">
        <v>37</v>
      </c>
      <c r="D58" s="162">
        <f t="shared" si="0"/>
        <v>0.37</v>
      </c>
      <c r="E58" s="33">
        <v>5</v>
      </c>
      <c r="F58" s="12">
        <f t="shared" si="1"/>
        <v>0.10752125999999999</v>
      </c>
      <c r="H58" s="139"/>
    </row>
    <row r="59" spans="1:8" ht="30" x14ac:dyDescent="0.25">
      <c r="A59" s="131" t="s">
        <v>7</v>
      </c>
      <c r="B59" s="131" t="s">
        <v>8</v>
      </c>
      <c r="C59" s="131">
        <v>36</v>
      </c>
      <c r="D59" s="162">
        <f t="shared" si="0"/>
        <v>0.36</v>
      </c>
      <c r="E59" s="33">
        <v>5</v>
      </c>
      <c r="F59" s="12">
        <f t="shared" si="1"/>
        <v>0.10178783999999999</v>
      </c>
      <c r="H59" s="139"/>
    </row>
    <row r="60" spans="1:8" ht="30" x14ac:dyDescent="0.25">
      <c r="A60" s="131" t="s">
        <v>7</v>
      </c>
      <c r="B60" s="131" t="s">
        <v>8</v>
      </c>
      <c r="C60" s="131">
        <v>40</v>
      </c>
      <c r="D60" s="162">
        <f t="shared" si="0"/>
        <v>0.4</v>
      </c>
      <c r="E60" s="33">
        <v>5</v>
      </c>
      <c r="F60" s="12">
        <f t="shared" si="1"/>
        <v>0.12566400000000003</v>
      </c>
    </row>
    <row r="61" spans="1:8" ht="30" x14ac:dyDescent="0.25">
      <c r="A61" s="131" t="s">
        <v>7</v>
      </c>
      <c r="B61" s="131" t="s">
        <v>8</v>
      </c>
      <c r="C61" s="131">
        <v>121</v>
      </c>
      <c r="D61" s="162">
        <f t="shared" si="0"/>
        <v>1.21</v>
      </c>
      <c r="E61" s="33">
        <v>5</v>
      </c>
      <c r="F61" s="12">
        <f t="shared" si="1"/>
        <v>1.1499041399999999</v>
      </c>
    </row>
    <row r="62" spans="1:8" ht="30" x14ac:dyDescent="0.25">
      <c r="A62" s="131" t="s">
        <v>7</v>
      </c>
      <c r="B62" s="131" t="s">
        <v>8</v>
      </c>
      <c r="C62" s="131">
        <v>187</v>
      </c>
      <c r="D62" s="162">
        <f t="shared" si="0"/>
        <v>1.87</v>
      </c>
      <c r="E62" s="33">
        <v>5</v>
      </c>
      <c r="F62" s="12">
        <f t="shared" si="1"/>
        <v>2.7464652600000004</v>
      </c>
    </row>
    <row r="63" spans="1:8" ht="30" x14ac:dyDescent="0.25">
      <c r="A63" s="131" t="s">
        <v>7</v>
      </c>
      <c r="B63" s="131" t="s">
        <v>8</v>
      </c>
      <c r="C63" s="131">
        <v>129</v>
      </c>
      <c r="D63" s="162">
        <f t="shared" si="0"/>
        <v>1.29</v>
      </c>
      <c r="E63" s="33">
        <v>5</v>
      </c>
      <c r="F63" s="12">
        <f t="shared" si="1"/>
        <v>1.3069841400000002</v>
      </c>
    </row>
    <row r="64" spans="1:8" ht="30" x14ac:dyDescent="0.25">
      <c r="A64" s="131" t="s">
        <v>7</v>
      </c>
      <c r="B64" s="131" t="s">
        <v>8</v>
      </c>
      <c r="C64" s="131">
        <v>195</v>
      </c>
      <c r="D64" s="162">
        <f t="shared" si="0"/>
        <v>1.95</v>
      </c>
      <c r="E64" s="33">
        <v>5</v>
      </c>
      <c r="F64" s="12">
        <f t="shared" si="1"/>
        <v>2.9864834999999998</v>
      </c>
    </row>
    <row r="65" spans="1:6" ht="30" x14ac:dyDescent="0.25">
      <c r="A65" s="131" t="s">
        <v>7</v>
      </c>
      <c r="B65" s="131" t="s">
        <v>8</v>
      </c>
      <c r="C65" s="131">
        <v>127</v>
      </c>
      <c r="D65" s="162">
        <f t="shared" si="0"/>
        <v>1.27</v>
      </c>
      <c r="E65" s="33">
        <v>5</v>
      </c>
      <c r="F65" s="12">
        <f t="shared" si="1"/>
        <v>1.2667716600000001</v>
      </c>
    </row>
    <row r="66" spans="1:6" ht="30" x14ac:dyDescent="0.25">
      <c r="A66" s="131" t="s">
        <v>7</v>
      </c>
      <c r="B66" s="131" t="s">
        <v>8</v>
      </c>
      <c r="C66" s="131">
        <v>200</v>
      </c>
      <c r="D66" s="162">
        <f t="shared" si="0"/>
        <v>2</v>
      </c>
      <c r="E66" s="33">
        <v>5</v>
      </c>
      <c r="F66" s="12">
        <f t="shared" si="1"/>
        <v>3.1415999999999999</v>
      </c>
    </row>
    <row r="67" spans="1:6" ht="30" x14ac:dyDescent="0.25">
      <c r="A67" s="131" t="s">
        <v>7</v>
      </c>
      <c r="B67" s="131" t="s">
        <v>8</v>
      </c>
      <c r="C67" s="131">
        <v>147</v>
      </c>
      <c r="D67" s="162">
        <f t="shared" ref="D67:D130" si="5">C67/100</f>
        <v>1.47</v>
      </c>
      <c r="E67" s="33">
        <v>5</v>
      </c>
      <c r="F67" s="12">
        <f t="shared" ref="F67:F130" si="6">D67*D67*3.1416/4</f>
        <v>1.6971708599999997</v>
      </c>
    </row>
    <row r="68" spans="1:6" ht="30" x14ac:dyDescent="0.25">
      <c r="A68" s="131" t="s">
        <v>7</v>
      </c>
      <c r="B68" s="131" t="s">
        <v>8</v>
      </c>
      <c r="C68" s="131">
        <v>121</v>
      </c>
      <c r="D68" s="162">
        <f t="shared" si="5"/>
        <v>1.21</v>
      </c>
      <c r="E68" s="33">
        <v>5</v>
      </c>
      <c r="F68" s="12">
        <f t="shared" si="6"/>
        <v>1.1499041399999999</v>
      </c>
    </row>
    <row r="69" spans="1:6" ht="30" x14ac:dyDescent="0.25">
      <c r="A69" s="131" t="s">
        <v>7</v>
      </c>
      <c r="B69" s="131" t="s">
        <v>8</v>
      </c>
      <c r="C69" s="131">
        <v>124</v>
      </c>
      <c r="D69" s="162">
        <f t="shared" si="5"/>
        <v>1.24</v>
      </c>
      <c r="E69" s="33">
        <v>5</v>
      </c>
      <c r="F69" s="12">
        <f t="shared" si="6"/>
        <v>1.2076310400000001</v>
      </c>
    </row>
    <row r="70" spans="1:6" ht="30" x14ac:dyDescent="0.25">
      <c r="A70" s="131" t="s">
        <v>7</v>
      </c>
      <c r="B70" s="131" t="s">
        <v>8</v>
      </c>
      <c r="C70" s="131">
        <v>220</v>
      </c>
      <c r="D70" s="162">
        <f t="shared" si="5"/>
        <v>2.2000000000000002</v>
      </c>
      <c r="E70" s="33">
        <v>5</v>
      </c>
      <c r="F70" s="12">
        <f t="shared" si="6"/>
        <v>3.8013360000000005</v>
      </c>
    </row>
    <row r="71" spans="1:6" ht="30" x14ac:dyDescent="0.25">
      <c r="A71" s="131" t="s">
        <v>7</v>
      </c>
      <c r="B71" s="131" t="s">
        <v>8</v>
      </c>
      <c r="C71" s="131">
        <v>114</v>
      </c>
      <c r="D71" s="162">
        <f t="shared" si="5"/>
        <v>1.1399999999999999</v>
      </c>
      <c r="E71" s="33">
        <v>5</v>
      </c>
      <c r="F71" s="12">
        <f t="shared" si="6"/>
        <v>1.02070584</v>
      </c>
    </row>
    <row r="72" spans="1:6" ht="30" x14ac:dyDescent="0.25">
      <c r="A72" s="131" t="s">
        <v>7</v>
      </c>
      <c r="B72" s="131" t="s">
        <v>8</v>
      </c>
      <c r="C72" s="131">
        <v>220</v>
      </c>
      <c r="D72" s="162">
        <f t="shared" si="5"/>
        <v>2.2000000000000002</v>
      </c>
      <c r="E72" s="33">
        <v>5</v>
      </c>
      <c r="F72" s="12">
        <f t="shared" si="6"/>
        <v>3.8013360000000005</v>
      </c>
    </row>
    <row r="73" spans="1:6" ht="30" x14ac:dyDescent="0.25">
      <c r="A73" s="131" t="s">
        <v>7</v>
      </c>
      <c r="B73" s="131" t="s">
        <v>8</v>
      </c>
      <c r="C73" s="131">
        <v>157</v>
      </c>
      <c r="D73" s="162">
        <f t="shared" si="5"/>
        <v>1.57</v>
      </c>
      <c r="E73" s="33">
        <v>5</v>
      </c>
      <c r="F73" s="12">
        <f t="shared" si="6"/>
        <v>1.9359324600000001</v>
      </c>
    </row>
    <row r="74" spans="1:6" ht="30" x14ac:dyDescent="0.25">
      <c r="A74" s="131" t="s">
        <v>7</v>
      </c>
      <c r="B74" s="131" t="s">
        <v>8</v>
      </c>
      <c r="C74" s="131">
        <v>25</v>
      </c>
      <c r="D74" s="162">
        <f t="shared" si="5"/>
        <v>0.25</v>
      </c>
      <c r="E74" s="11">
        <v>31.830914183855359</v>
      </c>
      <c r="F74" s="12">
        <f t="shared" si="6"/>
        <v>4.9087499999999999E-2</v>
      </c>
    </row>
    <row r="75" spans="1:6" ht="30" x14ac:dyDescent="0.25">
      <c r="A75" s="131" t="s">
        <v>7</v>
      </c>
      <c r="B75" s="131" t="s">
        <v>8</v>
      </c>
      <c r="C75" s="131">
        <v>18</v>
      </c>
      <c r="D75" s="162">
        <f t="shared" si="5"/>
        <v>0.18</v>
      </c>
      <c r="E75" s="11">
        <v>31.830914183855359</v>
      </c>
      <c r="F75" s="12">
        <f t="shared" si="6"/>
        <v>2.5446959999999998E-2</v>
      </c>
    </row>
    <row r="76" spans="1:6" ht="30" x14ac:dyDescent="0.25">
      <c r="A76" s="131" t="s">
        <v>7</v>
      </c>
      <c r="B76" s="131" t="s">
        <v>8</v>
      </c>
      <c r="C76" s="131">
        <v>20</v>
      </c>
      <c r="D76" s="162">
        <f t="shared" si="5"/>
        <v>0.2</v>
      </c>
      <c r="E76" s="11">
        <v>31.830914183855359</v>
      </c>
      <c r="F76" s="12">
        <f t="shared" si="6"/>
        <v>3.1416000000000006E-2</v>
      </c>
    </row>
    <row r="77" spans="1:6" ht="30" x14ac:dyDescent="0.25">
      <c r="A77" s="131" t="s">
        <v>7</v>
      </c>
      <c r="B77" s="131" t="s">
        <v>8</v>
      </c>
      <c r="C77" s="131">
        <v>22</v>
      </c>
      <c r="D77" s="162">
        <f t="shared" si="5"/>
        <v>0.22</v>
      </c>
      <c r="E77" s="11">
        <v>31.830914183855359</v>
      </c>
      <c r="F77" s="12">
        <f t="shared" si="6"/>
        <v>3.8013359999999996E-2</v>
      </c>
    </row>
    <row r="78" spans="1:6" ht="30" x14ac:dyDescent="0.25">
      <c r="A78" s="131" t="s">
        <v>7</v>
      </c>
      <c r="B78" s="131" t="s">
        <v>8</v>
      </c>
      <c r="C78" s="131">
        <v>18</v>
      </c>
      <c r="D78" s="162">
        <f t="shared" si="5"/>
        <v>0.18</v>
      </c>
      <c r="E78" s="11">
        <v>31.830914183855359</v>
      </c>
      <c r="F78" s="12">
        <f t="shared" si="6"/>
        <v>2.5446959999999998E-2</v>
      </c>
    </row>
    <row r="79" spans="1:6" ht="30" x14ac:dyDescent="0.25">
      <c r="A79" s="131" t="s">
        <v>7</v>
      </c>
      <c r="B79" s="131" t="s">
        <v>8</v>
      </c>
      <c r="C79" s="131">
        <v>19</v>
      </c>
      <c r="D79" s="162">
        <f t="shared" si="5"/>
        <v>0.19</v>
      </c>
      <c r="E79" s="11">
        <v>31.830914183855359</v>
      </c>
      <c r="F79" s="12">
        <f t="shared" si="6"/>
        <v>2.835294E-2</v>
      </c>
    </row>
    <row r="80" spans="1:6" ht="30" x14ac:dyDescent="0.25">
      <c r="A80" s="131" t="s">
        <v>7</v>
      </c>
      <c r="B80" s="131" t="s">
        <v>8</v>
      </c>
      <c r="C80" s="131">
        <v>21</v>
      </c>
      <c r="D80" s="162">
        <f t="shared" si="5"/>
        <v>0.21</v>
      </c>
      <c r="E80" s="11">
        <v>31.830914183855359</v>
      </c>
      <c r="F80" s="12">
        <f t="shared" si="6"/>
        <v>3.4636139999999996E-2</v>
      </c>
    </row>
    <row r="81" spans="1:6" ht="30" x14ac:dyDescent="0.25">
      <c r="A81" s="131" t="s">
        <v>7</v>
      </c>
      <c r="B81" s="131" t="s">
        <v>8</v>
      </c>
      <c r="C81" s="131">
        <v>23</v>
      </c>
      <c r="D81" s="162">
        <f t="shared" si="5"/>
        <v>0.23</v>
      </c>
      <c r="E81" s="11">
        <v>31.830914183855359</v>
      </c>
      <c r="F81" s="12">
        <f t="shared" si="6"/>
        <v>4.154766E-2</v>
      </c>
    </row>
    <row r="82" spans="1:6" ht="30" x14ac:dyDescent="0.25">
      <c r="A82" s="131" t="s">
        <v>7</v>
      </c>
      <c r="B82" s="131" t="s">
        <v>8</v>
      </c>
      <c r="C82" s="131">
        <v>25</v>
      </c>
      <c r="D82" s="162">
        <f t="shared" si="5"/>
        <v>0.25</v>
      </c>
      <c r="E82" s="11">
        <v>31.830914183855359</v>
      </c>
      <c r="F82" s="12">
        <f t="shared" si="6"/>
        <v>4.9087499999999999E-2</v>
      </c>
    </row>
    <row r="83" spans="1:6" ht="30" x14ac:dyDescent="0.25">
      <c r="A83" s="131" t="s">
        <v>7</v>
      </c>
      <c r="B83" s="131" t="s">
        <v>8</v>
      </c>
      <c r="C83" s="131">
        <v>28</v>
      </c>
      <c r="D83" s="162">
        <f t="shared" si="5"/>
        <v>0.28000000000000003</v>
      </c>
      <c r="E83" s="11">
        <v>31.830914183855359</v>
      </c>
      <c r="F83" s="12">
        <f t="shared" si="6"/>
        <v>6.157536000000001E-2</v>
      </c>
    </row>
    <row r="84" spans="1:6" ht="30" x14ac:dyDescent="0.25">
      <c r="A84" s="131" t="s">
        <v>7</v>
      </c>
      <c r="B84" s="131" t="s">
        <v>8</v>
      </c>
      <c r="C84" s="131">
        <v>25</v>
      </c>
      <c r="D84" s="162">
        <f t="shared" si="5"/>
        <v>0.25</v>
      </c>
      <c r="E84" s="11">
        <v>31.830914183855359</v>
      </c>
      <c r="F84" s="12">
        <f t="shared" si="6"/>
        <v>4.9087499999999999E-2</v>
      </c>
    </row>
    <row r="85" spans="1:6" ht="30" x14ac:dyDescent="0.25">
      <c r="A85" s="131" t="s">
        <v>7</v>
      </c>
      <c r="B85" s="131" t="s">
        <v>8</v>
      </c>
      <c r="C85" s="131">
        <v>26</v>
      </c>
      <c r="D85" s="162">
        <f t="shared" si="5"/>
        <v>0.26</v>
      </c>
      <c r="E85" s="11">
        <v>31.830914183855359</v>
      </c>
      <c r="F85" s="12">
        <f t="shared" si="6"/>
        <v>5.3093040000000008E-2</v>
      </c>
    </row>
    <row r="86" spans="1:6" ht="30" x14ac:dyDescent="0.25">
      <c r="A86" s="131" t="s">
        <v>7</v>
      </c>
      <c r="B86" s="131" t="s">
        <v>8</v>
      </c>
      <c r="C86" s="131">
        <v>22</v>
      </c>
      <c r="D86" s="162">
        <f t="shared" si="5"/>
        <v>0.22</v>
      </c>
      <c r="E86" s="11">
        <v>31.830914183855359</v>
      </c>
      <c r="F86" s="12">
        <f t="shared" si="6"/>
        <v>3.8013359999999996E-2</v>
      </c>
    </row>
    <row r="87" spans="1:6" ht="30" x14ac:dyDescent="0.25">
      <c r="A87" s="131" t="s">
        <v>7</v>
      </c>
      <c r="B87" s="131" t="s">
        <v>8</v>
      </c>
      <c r="C87" s="131">
        <v>19</v>
      </c>
      <c r="D87" s="162">
        <f t="shared" si="5"/>
        <v>0.19</v>
      </c>
      <c r="E87" s="11">
        <v>31.830914183855359</v>
      </c>
      <c r="F87" s="12">
        <f t="shared" si="6"/>
        <v>2.835294E-2</v>
      </c>
    </row>
    <row r="88" spans="1:6" ht="30" x14ac:dyDescent="0.25">
      <c r="A88" s="131" t="s">
        <v>7</v>
      </c>
      <c r="B88" s="131" t="s">
        <v>8</v>
      </c>
      <c r="C88" s="131">
        <v>22</v>
      </c>
      <c r="D88" s="162">
        <f t="shared" si="5"/>
        <v>0.22</v>
      </c>
      <c r="E88" s="11">
        <v>31.830914183855359</v>
      </c>
      <c r="F88" s="12">
        <f t="shared" si="6"/>
        <v>3.8013359999999996E-2</v>
      </c>
    </row>
    <row r="89" spans="1:6" ht="30" x14ac:dyDescent="0.25">
      <c r="A89" s="131" t="s">
        <v>7</v>
      </c>
      <c r="B89" s="131" t="s">
        <v>8</v>
      </c>
      <c r="C89" s="131">
        <v>23</v>
      </c>
      <c r="D89" s="162">
        <f t="shared" si="5"/>
        <v>0.23</v>
      </c>
      <c r="E89" s="11">
        <v>31.830914183855359</v>
      </c>
      <c r="F89" s="12">
        <f t="shared" si="6"/>
        <v>4.154766E-2</v>
      </c>
    </row>
    <row r="90" spans="1:6" ht="30" x14ac:dyDescent="0.25">
      <c r="A90" s="131" t="s">
        <v>7</v>
      </c>
      <c r="B90" s="131" t="s">
        <v>8</v>
      </c>
      <c r="C90" s="131">
        <v>19</v>
      </c>
      <c r="D90" s="162">
        <f t="shared" si="5"/>
        <v>0.19</v>
      </c>
      <c r="E90" s="11">
        <v>31.830914183855359</v>
      </c>
      <c r="F90" s="12">
        <f t="shared" si="6"/>
        <v>2.835294E-2</v>
      </c>
    </row>
    <row r="91" spans="1:6" ht="30" x14ac:dyDescent="0.25">
      <c r="A91" s="131" t="s">
        <v>7</v>
      </c>
      <c r="B91" s="131" t="s">
        <v>8</v>
      </c>
      <c r="C91" s="131">
        <v>20</v>
      </c>
      <c r="D91" s="162">
        <f t="shared" si="5"/>
        <v>0.2</v>
      </c>
      <c r="E91" s="11">
        <v>31.830914183855359</v>
      </c>
      <c r="F91" s="12">
        <f t="shared" si="6"/>
        <v>3.1416000000000006E-2</v>
      </c>
    </row>
    <row r="92" spans="1:6" ht="30" x14ac:dyDescent="0.25">
      <c r="A92" s="131" t="s">
        <v>7</v>
      </c>
      <c r="B92" s="131" t="s">
        <v>8</v>
      </c>
      <c r="C92" s="131">
        <v>25</v>
      </c>
      <c r="D92" s="162">
        <f t="shared" si="5"/>
        <v>0.25</v>
      </c>
      <c r="E92" s="11">
        <v>31.830914183855359</v>
      </c>
      <c r="F92" s="12">
        <f t="shared" si="6"/>
        <v>4.9087499999999999E-2</v>
      </c>
    </row>
    <row r="93" spans="1:6" ht="30" x14ac:dyDescent="0.25">
      <c r="A93" s="131" t="s">
        <v>7</v>
      </c>
      <c r="B93" s="131" t="s">
        <v>8</v>
      </c>
      <c r="C93" s="131">
        <v>22</v>
      </c>
      <c r="D93" s="162">
        <f t="shared" si="5"/>
        <v>0.22</v>
      </c>
      <c r="E93" s="11">
        <v>31.830914183855359</v>
      </c>
      <c r="F93" s="12">
        <f t="shared" si="6"/>
        <v>3.8013359999999996E-2</v>
      </c>
    </row>
    <row r="94" spans="1:6" ht="30" x14ac:dyDescent="0.25">
      <c r="A94" s="131" t="s">
        <v>7</v>
      </c>
      <c r="B94" s="131" t="s">
        <v>8</v>
      </c>
      <c r="C94" s="131">
        <v>22</v>
      </c>
      <c r="D94" s="162">
        <f t="shared" si="5"/>
        <v>0.22</v>
      </c>
      <c r="E94" s="11">
        <v>31.830914183855359</v>
      </c>
      <c r="F94" s="12">
        <f t="shared" si="6"/>
        <v>3.8013359999999996E-2</v>
      </c>
    </row>
    <row r="95" spans="1:6" ht="30" x14ac:dyDescent="0.25">
      <c r="A95" s="131" t="s">
        <v>7</v>
      </c>
      <c r="B95" s="131" t="s">
        <v>8</v>
      </c>
      <c r="C95" s="131">
        <v>20</v>
      </c>
      <c r="D95" s="162">
        <f t="shared" si="5"/>
        <v>0.2</v>
      </c>
      <c r="E95" s="11">
        <v>31.830914183855359</v>
      </c>
      <c r="F95" s="12">
        <f t="shared" si="6"/>
        <v>3.1416000000000006E-2</v>
      </c>
    </row>
    <row r="96" spans="1:6" ht="30" x14ac:dyDescent="0.25">
      <c r="A96" s="131" t="s">
        <v>7</v>
      </c>
      <c r="B96" s="131" t="s">
        <v>8</v>
      </c>
      <c r="C96" s="131">
        <v>18</v>
      </c>
      <c r="D96" s="162">
        <f t="shared" si="5"/>
        <v>0.18</v>
      </c>
      <c r="E96" s="11">
        <v>31.830914183855359</v>
      </c>
      <c r="F96" s="12">
        <f t="shared" si="6"/>
        <v>2.5446959999999998E-2</v>
      </c>
    </row>
    <row r="97" spans="1:6" ht="30" x14ac:dyDescent="0.25">
      <c r="A97" s="131" t="s">
        <v>7</v>
      </c>
      <c r="B97" s="131" t="s">
        <v>8</v>
      </c>
      <c r="C97" s="131">
        <v>24</v>
      </c>
      <c r="D97" s="162">
        <f t="shared" si="5"/>
        <v>0.24</v>
      </c>
      <c r="E97" s="11">
        <v>31.830914183855359</v>
      </c>
      <c r="F97" s="12">
        <f t="shared" si="6"/>
        <v>4.5239040000000001E-2</v>
      </c>
    </row>
    <row r="98" spans="1:6" ht="30" x14ac:dyDescent="0.25">
      <c r="A98" s="131" t="s">
        <v>7</v>
      </c>
      <c r="B98" s="131" t="s">
        <v>8</v>
      </c>
      <c r="C98" s="131">
        <v>15</v>
      </c>
      <c r="D98" s="162">
        <f t="shared" si="5"/>
        <v>0.15</v>
      </c>
      <c r="E98" s="11">
        <v>31.830914183855359</v>
      </c>
      <c r="F98" s="12">
        <f t="shared" si="6"/>
        <v>1.76715E-2</v>
      </c>
    </row>
    <row r="99" spans="1:6" ht="30" x14ac:dyDescent="0.25">
      <c r="A99" s="131" t="s">
        <v>77</v>
      </c>
      <c r="B99" s="131" t="s">
        <v>78</v>
      </c>
      <c r="C99" s="131">
        <v>42</v>
      </c>
      <c r="D99" s="162">
        <f t="shared" si="5"/>
        <v>0.42</v>
      </c>
      <c r="E99" s="33">
        <v>5</v>
      </c>
      <c r="F99" s="12">
        <f t="shared" si="6"/>
        <v>0.13854455999999998</v>
      </c>
    </row>
    <row r="100" spans="1:6" ht="30" x14ac:dyDescent="0.25">
      <c r="A100" s="131" t="s">
        <v>57</v>
      </c>
      <c r="B100" s="131" t="s">
        <v>58</v>
      </c>
      <c r="C100" s="131">
        <v>32</v>
      </c>
      <c r="D100" s="162">
        <f t="shared" si="5"/>
        <v>0.32</v>
      </c>
      <c r="E100" s="33">
        <v>5</v>
      </c>
      <c r="F100" s="12">
        <f t="shared" si="6"/>
        <v>8.0424960000000004E-2</v>
      </c>
    </row>
    <row r="101" spans="1:6" ht="30" x14ac:dyDescent="0.25">
      <c r="A101" s="131" t="s">
        <v>82</v>
      </c>
      <c r="B101" s="131" t="s">
        <v>83</v>
      </c>
      <c r="C101" s="131">
        <v>19</v>
      </c>
      <c r="D101" s="162">
        <f t="shared" si="5"/>
        <v>0.19</v>
      </c>
      <c r="E101" s="19">
        <v>31.830914183855359</v>
      </c>
      <c r="F101" s="12">
        <f t="shared" si="6"/>
        <v>2.835294E-2</v>
      </c>
    </row>
    <row r="102" spans="1:6" ht="30" x14ac:dyDescent="0.25">
      <c r="A102" s="131" t="s">
        <v>82</v>
      </c>
      <c r="B102" s="131" t="s">
        <v>83</v>
      </c>
      <c r="C102" s="131">
        <v>23</v>
      </c>
      <c r="D102" s="162">
        <f t="shared" si="5"/>
        <v>0.23</v>
      </c>
      <c r="E102" s="19">
        <v>31.830914183855359</v>
      </c>
      <c r="F102" s="12">
        <f t="shared" si="6"/>
        <v>4.154766E-2</v>
      </c>
    </row>
    <row r="103" spans="1:6" ht="30" x14ac:dyDescent="0.25">
      <c r="A103" s="131" t="s">
        <v>20</v>
      </c>
      <c r="B103" s="131" t="s">
        <v>171</v>
      </c>
      <c r="C103" s="131">
        <v>19</v>
      </c>
      <c r="D103" s="162">
        <f t="shared" si="5"/>
        <v>0.19</v>
      </c>
      <c r="E103" s="11">
        <v>31.830914183855359</v>
      </c>
      <c r="F103" s="12">
        <f t="shared" si="6"/>
        <v>2.835294E-2</v>
      </c>
    </row>
    <row r="104" spans="1:6" ht="30" x14ac:dyDescent="0.25">
      <c r="A104" s="131" t="s">
        <v>20</v>
      </c>
      <c r="B104" s="131" t="s">
        <v>171</v>
      </c>
      <c r="C104" s="131">
        <v>17</v>
      </c>
      <c r="D104" s="162">
        <f t="shared" si="5"/>
        <v>0.17</v>
      </c>
      <c r="E104" s="11">
        <v>31.830914183855359</v>
      </c>
      <c r="F104" s="12">
        <f t="shared" si="6"/>
        <v>2.2698060000000003E-2</v>
      </c>
    </row>
    <row r="105" spans="1:6" ht="30" x14ac:dyDescent="0.25">
      <c r="A105" s="131" t="s">
        <v>44</v>
      </c>
      <c r="B105" s="131" t="s">
        <v>45</v>
      </c>
      <c r="C105" s="131">
        <v>48</v>
      </c>
      <c r="D105" s="162">
        <f t="shared" si="5"/>
        <v>0.48</v>
      </c>
      <c r="E105" s="33">
        <v>5</v>
      </c>
      <c r="F105" s="12">
        <f t="shared" si="6"/>
        <v>0.18095616</v>
      </c>
    </row>
    <row r="106" spans="1:6" ht="30" x14ac:dyDescent="0.25">
      <c r="A106" s="131" t="s">
        <v>44</v>
      </c>
      <c r="B106" s="131" t="s">
        <v>45</v>
      </c>
      <c r="C106" s="131">
        <v>36</v>
      </c>
      <c r="D106" s="162">
        <f t="shared" si="5"/>
        <v>0.36</v>
      </c>
      <c r="E106" s="33">
        <v>5</v>
      </c>
      <c r="F106" s="12">
        <f t="shared" si="6"/>
        <v>0.10178783999999999</v>
      </c>
    </row>
    <row r="107" spans="1:6" ht="30" x14ac:dyDescent="0.25">
      <c r="A107" s="131" t="s">
        <v>44</v>
      </c>
      <c r="B107" s="131" t="s">
        <v>45</v>
      </c>
      <c r="C107" s="131">
        <v>26</v>
      </c>
      <c r="D107" s="162">
        <f t="shared" si="5"/>
        <v>0.26</v>
      </c>
      <c r="E107" s="19">
        <v>31.830914183855359</v>
      </c>
      <c r="F107" s="12">
        <f t="shared" si="6"/>
        <v>5.3093040000000008E-2</v>
      </c>
    </row>
    <row r="108" spans="1:6" ht="30" x14ac:dyDescent="0.25">
      <c r="A108" s="131" t="s">
        <v>53</v>
      </c>
      <c r="B108" s="131" t="s">
        <v>54</v>
      </c>
      <c r="C108" s="131">
        <v>35</v>
      </c>
      <c r="D108" s="162">
        <f t="shared" si="5"/>
        <v>0.35</v>
      </c>
      <c r="E108" s="33">
        <v>5</v>
      </c>
      <c r="F108" s="12">
        <f t="shared" si="6"/>
        <v>9.6211499999999991E-2</v>
      </c>
    </row>
    <row r="109" spans="1:6" ht="30" x14ac:dyDescent="0.25">
      <c r="A109" s="131" t="s">
        <v>9</v>
      </c>
      <c r="B109" s="131" t="s">
        <v>10</v>
      </c>
      <c r="C109" s="131">
        <v>52</v>
      </c>
      <c r="D109" s="162">
        <f t="shared" si="5"/>
        <v>0.52</v>
      </c>
      <c r="E109" s="33">
        <v>5</v>
      </c>
      <c r="F109" s="12">
        <f t="shared" si="6"/>
        <v>0.21237216000000003</v>
      </c>
    </row>
    <row r="110" spans="1:6" ht="30" x14ac:dyDescent="0.25">
      <c r="A110" s="131" t="s">
        <v>9</v>
      </c>
      <c r="B110" s="131" t="s">
        <v>10</v>
      </c>
      <c r="C110" s="131">
        <v>19</v>
      </c>
      <c r="D110" s="162">
        <f t="shared" si="5"/>
        <v>0.19</v>
      </c>
      <c r="E110" s="11">
        <v>31.830914183855359</v>
      </c>
      <c r="F110" s="12">
        <f t="shared" si="6"/>
        <v>2.835294E-2</v>
      </c>
    </row>
    <row r="111" spans="1:6" ht="30" x14ac:dyDescent="0.25">
      <c r="A111" s="131" t="s">
        <v>9</v>
      </c>
      <c r="B111" s="131" t="s">
        <v>10</v>
      </c>
      <c r="C111" s="131">
        <v>22</v>
      </c>
      <c r="D111" s="162">
        <f t="shared" si="5"/>
        <v>0.22</v>
      </c>
      <c r="E111" s="11">
        <v>31.830914183855359</v>
      </c>
      <c r="F111" s="12">
        <f t="shared" si="6"/>
        <v>3.8013359999999996E-2</v>
      </c>
    </row>
    <row r="112" spans="1:6" ht="30" x14ac:dyDescent="0.25">
      <c r="A112" s="131" t="s">
        <v>9</v>
      </c>
      <c r="B112" s="131" t="s">
        <v>10</v>
      </c>
      <c r="C112" s="131">
        <v>22</v>
      </c>
      <c r="D112" s="162">
        <f t="shared" si="5"/>
        <v>0.22</v>
      </c>
      <c r="E112" s="11">
        <v>31.830914183855359</v>
      </c>
      <c r="F112" s="12">
        <f t="shared" si="6"/>
        <v>3.8013359999999996E-2</v>
      </c>
    </row>
    <row r="113" spans="1:6" ht="30" x14ac:dyDescent="0.25">
      <c r="A113" s="131" t="s">
        <v>9</v>
      </c>
      <c r="B113" s="131" t="s">
        <v>10</v>
      </c>
      <c r="C113" s="131">
        <v>19</v>
      </c>
      <c r="D113" s="162">
        <f t="shared" si="5"/>
        <v>0.19</v>
      </c>
      <c r="E113" s="11">
        <v>31.830914183855359</v>
      </c>
      <c r="F113" s="12">
        <f t="shared" si="6"/>
        <v>2.835294E-2</v>
      </c>
    </row>
    <row r="114" spans="1:6" ht="30" x14ac:dyDescent="0.25">
      <c r="A114" s="131" t="s">
        <v>9</v>
      </c>
      <c r="B114" s="131" t="s">
        <v>10</v>
      </c>
      <c r="C114" s="131">
        <v>19</v>
      </c>
      <c r="D114" s="162">
        <f t="shared" si="5"/>
        <v>0.19</v>
      </c>
      <c r="E114" s="11">
        <v>31.830914183855359</v>
      </c>
      <c r="F114" s="12">
        <f t="shared" si="6"/>
        <v>2.835294E-2</v>
      </c>
    </row>
    <row r="115" spans="1:6" ht="30" x14ac:dyDescent="0.25">
      <c r="A115" s="131" t="s">
        <v>9</v>
      </c>
      <c r="B115" s="131" t="s">
        <v>10</v>
      </c>
      <c r="C115" s="131">
        <v>20</v>
      </c>
      <c r="D115" s="162">
        <f t="shared" si="5"/>
        <v>0.2</v>
      </c>
      <c r="E115" s="11">
        <v>31.830914183855359</v>
      </c>
      <c r="F115" s="12">
        <f t="shared" si="6"/>
        <v>3.1416000000000006E-2</v>
      </c>
    </row>
    <row r="116" spans="1:6" ht="30" x14ac:dyDescent="0.25">
      <c r="A116" s="131" t="s">
        <v>9</v>
      </c>
      <c r="B116" s="131" t="s">
        <v>10</v>
      </c>
      <c r="C116" s="131">
        <v>22</v>
      </c>
      <c r="D116" s="162">
        <f t="shared" si="5"/>
        <v>0.22</v>
      </c>
      <c r="E116" s="11">
        <v>31.830914183855359</v>
      </c>
      <c r="F116" s="12">
        <f t="shared" si="6"/>
        <v>3.8013359999999996E-2</v>
      </c>
    </row>
    <row r="117" spans="1:6" ht="30" x14ac:dyDescent="0.25">
      <c r="A117" s="131" t="s">
        <v>9</v>
      </c>
      <c r="B117" s="131" t="s">
        <v>10</v>
      </c>
      <c r="C117" s="131">
        <v>23</v>
      </c>
      <c r="D117" s="162">
        <f t="shared" si="5"/>
        <v>0.23</v>
      </c>
      <c r="E117" s="11">
        <v>31.830914183855359</v>
      </c>
      <c r="F117" s="12">
        <f t="shared" si="6"/>
        <v>4.154766E-2</v>
      </c>
    </row>
    <row r="118" spans="1:6" ht="30" x14ac:dyDescent="0.25">
      <c r="A118" s="131" t="s">
        <v>9</v>
      </c>
      <c r="B118" s="131" t="s">
        <v>10</v>
      </c>
      <c r="C118" s="131">
        <v>10</v>
      </c>
      <c r="D118" s="162">
        <f t="shared" si="5"/>
        <v>0.1</v>
      </c>
      <c r="E118" s="11">
        <v>31.830914183855359</v>
      </c>
      <c r="F118" s="12">
        <f t="shared" si="6"/>
        <v>7.8540000000000016E-3</v>
      </c>
    </row>
    <row r="119" spans="1:6" ht="30" x14ac:dyDescent="0.25">
      <c r="A119" s="131" t="s">
        <v>81</v>
      </c>
      <c r="B119" s="131" t="s">
        <v>70</v>
      </c>
      <c r="C119" s="131">
        <v>34</v>
      </c>
      <c r="D119" s="162">
        <f t="shared" si="5"/>
        <v>0.34</v>
      </c>
      <c r="E119" s="33">
        <v>5</v>
      </c>
      <c r="F119" s="12">
        <f t="shared" si="6"/>
        <v>9.079224000000001E-2</v>
      </c>
    </row>
    <row r="120" spans="1:6" ht="30" x14ac:dyDescent="0.25">
      <c r="A120" s="131" t="s">
        <v>12</v>
      </c>
      <c r="B120" s="131" t="s">
        <v>13</v>
      </c>
      <c r="C120" s="131">
        <v>21</v>
      </c>
      <c r="D120" s="162">
        <f t="shared" si="5"/>
        <v>0.21</v>
      </c>
      <c r="E120" s="11">
        <v>31.830914183855359</v>
      </c>
      <c r="F120" s="12">
        <f t="shared" si="6"/>
        <v>3.4636139999999996E-2</v>
      </c>
    </row>
    <row r="121" spans="1:6" ht="30" x14ac:dyDescent="0.25">
      <c r="A121" s="131" t="s">
        <v>12</v>
      </c>
      <c r="B121" s="131" t="s">
        <v>13</v>
      </c>
      <c r="C121" s="131">
        <v>23</v>
      </c>
      <c r="D121" s="162">
        <f t="shared" si="5"/>
        <v>0.23</v>
      </c>
      <c r="E121" s="11">
        <v>31.830914183855359</v>
      </c>
      <c r="F121" s="12">
        <f t="shared" si="6"/>
        <v>4.154766E-2</v>
      </c>
    </row>
    <row r="122" spans="1:6" ht="30" x14ac:dyDescent="0.25">
      <c r="A122" s="131" t="s">
        <v>12</v>
      </c>
      <c r="B122" s="131" t="s">
        <v>13</v>
      </c>
      <c r="C122" s="131">
        <v>27</v>
      </c>
      <c r="D122" s="162">
        <f t="shared" si="5"/>
        <v>0.27</v>
      </c>
      <c r="E122" s="11">
        <v>31.830914183855359</v>
      </c>
      <c r="F122" s="12">
        <f t="shared" si="6"/>
        <v>5.7255660000000007E-2</v>
      </c>
    </row>
    <row r="123" spans="1:6" ht="30" x14ac:dyDescent="0.25">
      <c r="A123" s="131" t="s">
        <v>12</v>
      </c>
      <c r="B123" s="131" t="s">
        <v>13</v>
      </c>
      <c r="C123" s="131">
        <v>19</v>
      </c>
      <c r="D123" s="162">
        <f t="shared" si="5"/>
        <v>0.19</v>
      </c>
      <c r="E123" s="11">
        <v>31.830914183855359</v>
      </c>
      <c r="F123" s="12">
        <f t="shared" si="6"/>
        <v>2.835294E-2</v>
      </c>
    </row>
    <row r="124" spans="1:6" ht="30" x14ac:dyDescent="0.25">
      <c r="A124" s="131" t="s">
        <v>12</v>
      </c>
      <c r="B124" s="131" t="s">
        <v>13</v>
      </c>
      <c r="C124" s="131">
        <v>22</v>
      </c>
      <c r="D124" s="162">
        <f t="shared" si="5"/>
        <v>0.22</v>
      </c>
      <c r="E124" s="11">
        <v>31.830914183855359</v>
      </c>
      <c r="F124" s="12">
        <f t="shared" si="6"/>
        <v>3.8013359999999996E-2</v>
      </c>
    </row>
    <row r="125" spans="1:6" ht="30" x14ac:dyDescent="0.25">
      <c r="A125" s="131" t="s">
        <v>12</v>
      </c>
      <c r="B125" s="131" t="s">
        <v>13</v>
      </c>
      <c r="C125" s="131">
        <v>24</v>
      </c>
      <c r="D125" s="162">
        <f t="shared" si="5"/>
        <v>0.24</v>
      </c>
      <c r="E125" s="11">
        <v>31.830914183855359</v>
      </c>
      <c r="F125" s="12">
        <f t="shared" si="6"/>
        <v>4.5239040000000001E-2</v>
      </c>
    </row>
    <row r="126" spans="1:6" ht="30" x14ac:dyDescent="0.25">
      <c r="A126" s="131" t="s">
        <v>12</v>
      </c>
      <c r="B126" s="131" t="s">
        <v>13</v>
      </c>
      <c r="C126" s="131">
        <v>18</v>
      </c>
      <c r="D126" s="162">
        <f t="shared" si="5"/>
        <v>0.18</v>
      </c>
      <c r="E126" s="11">
        <v>31.830914183855359</v>
      </c>
      <c r="F126" s="12">
        <f t="shared" si="6"/>
        <v>2.5446959999999998E-2</v>
      </c>
    </row>
    <row r="127" spans="1:6" ht="30" x14ac:dyDescent="0.25">
      <c r="A127" s="131" t="s">
        <v>12</v>
      </c>
      <c r="B127" s="131" t="s">
        <v>13</v>
      </c>
      <c r="C127" s="131">
        <v>20</v>
      </c>
      <c r="D127" s="162">
        <f t="shared" si="5"/>
        <v>0.2</v>
      </c>
      <c r="E127" s="11">
        <v>31.830914183855359</v>
      </c>
      <c r="F127" s="12">
        <f t="shared" si="6"/>
        <v>3.1416000000000006E-2</v>
      </c>
    </row>
    <row r="128" spans="1:6" ht="30" x14ac:dyDescent="0.25">
      <c r="A128" s="131" t="s">
        <v>12</v>
      </c>
      <c r="B128" s="131" t="s">
        <v>13</v>
      </c>
      <c r="C128" s="131">
        <v>21</v>
      </c>
      <c r="D128" s="162">
        <f t="shared" si="5"/>
        <v>0.21</v>
      </c>
      <c r="E128" s="11">
        <v>31.830914183855359</v>
      </c>
      <c r="F128" s="12">
        <f t="shared" si="6"/>
        <v>3.4636139999999996E-2</v>
      </c>
    </row>
    <row r="129" spans="1:6" ht="30" x14ac:dyDescent="0.25">
      <c r="A129" s="131" t="s">
        <v>12</v>
      </c>
      <c r="B129" s="131" t="s">
        <v>13</v>
      </c>
      <c r="C129" s="131">
        <v>17</v>
      </c>
      <c r="D129" s="162">
        <f t="shared" si="5"/>
        <v>0.17</v>
      </c>
      <c r="E129" s="11">
        <v>31.830914183855359</v>
      </c>
      <c r="F129" s="12">
        <f t="shared" si="6"/>
        <v>2.2698060000000003E-2</v>
      </c>
    </row>
    <row r="130" spans="1:6" ht="30" x14ac:dyDescent="0.25">
      <c r="A130" s="131" t="s">
        <v>12</v>
      </c>
      <c r="B130" s="131" t="s">
        <v>13</v>
      </c>
      <c r="C130" s="131">
        <v>25</v>
      </c>
      <c r="D130" s="162">
        <f t="shared" si="5"/>
        <v>0.25</v>
      </c>
      <c r="E130" s="11">
        <v>31.830914183855359</v>
      </c>
      <c r="F130" s="12">
        <f t="shared" si="6"/>
        <v>4.9087499999999999E-2</v>
      </c>
    </row>
    <row r="131" spans="1:6" ht="30" x14ac:dyDescent="0.25">
      <c r="A131" s="131" t="s">
        <v>12</v>
      </c>
      <c r="B131" s="131" t="s">
        <v>13</v>
      </c>
      <c r="C131" s="131">
        <v>19</v>
      </c>
      <c r="D131" s="162">
        <f>C131/100</f>
        <v>0.19</v>
      </c>
      <c r="E131" s="11">
        <v>31.830914183855359</v>
      </c>
      <c r="F131" s="12">
        <f>D131*D131*3.1416/4</f>
        <v>2.835294E-2</v>
      </c>
    </row>
    <row r="132" spans="1:6" ht="30" x14ac:dyDescent="0.25">
      <c r="A132" s="131" t="s">
        <v>12</v>
      </c>
      <c r="B132" s="131" t="s">
        <v>13</v>
      </c>
      <c r="C132" s="131">
        <v>12</v>
      </c>
      <c r="D132" s="162">
        <f>C132/100</f>
        <v>0.12</v>
      </c>
      <c r="E132" s="11">
        <v>31.830914183855359</v>
      </c>
      <c r="F132" s="12">
        <f>D132*D132*3.1416/4</f>
        <v>1.130976E-2</v>
      </c>
    </row>
  </sheetData>
  <autoFilter ref="C1:E132"/>
  <sortState ref="A2:D132">
    <sortCondition ref="B2:B132"/>
  </sortState>
  <mergeCells count="1">
    <mergeCell ref="H15:J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41" sqref="F41"/>
    </sheetView>
  </sheetViews>
  <sheetFormatPr defaultRowHeight="15" x14ac:dyDescent="0.25"/>
  <cols>
    <col min="1" max="1" width="5.28515625" style="1" bestFit="1" customWidth="1"/>
    <col min="2" max="2" width="12.42578125" style="1" bestFit="1" customWidth="1"/>
    <col min="3" max="3" width="19.140625" style="1" bestFit="1" customWidth="1"/>
    <col min="4" max="4" width="23.42578125" style="1" bestFit="1" customWidth="1"/>
    <col min="5" max="8" width="16.140625" style="1" bestFit="1" customWidth="1"/>
    <col min="9" max="9" width="19.7109375" style="1" bestFit="1" customWidth="1"/>
    <col min="10" max="10" width="14.85546875" style="1" bestFit="1" customWidth="1"/>
    <col min="11" max="11" width="11.42578125" style="1" bestFit="1" customWidth="1"/>
    <col min="12" max="12" width="14.85546875" style="1" bestFit="1" customWidth="1"/>
    <col min="13" max="13" width="11.42578125" style="1" bestFit="1" customWidth="1"/>
    <col min="14" max="14" width="13.42578125" style="1" bestFit="1" customWidth="1"/>
    <col min="15" max="16384" width="9.140625" style="1"/>
  </cols>
  <sheetData>
    <row r="1" spans="1:14" ht="35.25" customHeight="1" x14ac:dyDescent="0.25">
      <c r="A1" s="23"/>
      <c r="B1" s="23"/>
      <c r="C1" s="23"/>
      <c r="D1" s="23"/>
      <c r="E1" s="207" t="s">
        <v>0</v>
      </c>
      <c r="F1" s="207"/>
      <c r="G1" s="207" t="s">
        <v>1</v>
      </c>
      <c r="H1" s="207"/>
      <c r="I1" s="57" t="s">
        <v>141</v>
      </c>
      <c r="J1" s="206" t="s">
        <v>0</v>
      </c>
      <c r="K1" s="206"/>
      <c r="L1" s="206" t="s">
        <v>1</v>
      </c>
      <c r="M1" s="206"/>
      <c r="N1" s="46" t="s">
        <v>141</v>
      </c>
    </row>
    <row r="2" spans="1:14" s="4" customFormat="1" ht="38.25" customHeight="1" thickBot="1" x14ac:dyDescent="0.3">
      <c r="A2" s="9" t="s">
        <v>2</v>
      </c>
      <c r="B2" s="9" t="s">
        <v>3</v>
      </c>
      <c r="C2" s="9" t="s">
        <v>4</v>
      </c>
      <c r="D2" s="9" t="s">
        <v>5</v>
      </c>
      <c r="E2" s="58" t="s">
        <v>148</v>
      </c>
      <c r="F2" s="58" t="s">
        <v>149</v>
      </c>
      <c r="G2" s="58" t="s">
        <v>148</v>
      </c>
      <c r="H2" s="58" t="s">
        <v>149</v>
      </c>
      <c r="I2" s="58" t="s">
        <v>149</v>
      </c>
      <c r="J2" s="66" t="s">
        <v>150</v>
      </c>
      <c r="K2" s="66" t="s">
        <v>147</v>
      </c>
      <c r="L2" s="66" t="s">
        <v>150</v>
      </c>
      <c r="M2" s="66" t="s">
        <v>147</v>
      </c>
      <c r="N2" s="66" t="s">
        <v>147</v>
      </c>
    </row>
    <row r="3" spans="1:14" x14ac:dyDescent="0.25">
      <c r="A3" s="188" t="s">
        <v>32</v>
      </c>
      <c r="B3" s="189" t="s">
        <v>6</v>
      </c>
      <c r="C3" s="36" t="s">
        <v>7</v>
      </c>
      <c r="D3" s="38" t="s">
        <v>8</v>
      </c>
      <c r="E3" s="59">
        <v>3</v>
      </c>
      <c r="F3" s="59">
        <f>E3*10000/2000</f>
        <v>15</v>
      </c>
      <c r="G3" s="59">
        <v>14</v>
      </c>
      <c r="H3" s="60">
        <f>G3*10000/314.16</f>
        <v>445.63279857397504</v>
      </c>
      <c r="I3" s="60">
        <f>F3+H3</f>
        <v>460.63279857397504</v>
      </c>
      <c r="J3" s="67">
        <f>'2. All 30+ cm'!G3+'2. All 30+ cm'!G4+'2. All 30+ cm'!G5</f>
        <v>0.22179696000000002</v>
      </c>
      <c r="K3" s="67">
        <f>J3*10000/2000</f>
        <v>1.1089848000000002</v>
      </c>
      <c r="L3" s="67">
        <f>'3. All 10-30cm'!G3+'3. All 10-30cm'!G4+'3. All 10-30cm'!G5+'3. All 10-30cm'!G6+'3. All 10-30cm'!G7+'3. All 10-30cm'!G8+'3. All 10-30cm'!G9+'3. All 10-30cm'!G10+'3. All 10-30cm'!G11+'3. All 10-30cm'!G12+'3. All 10-30cm'!G13+'3. All 10-30cm'!G14+'3. All 10-30cm'!G15+'3. All 10-30cm'!G16</f>
        <v>0.55315722000000001</v>
      </c>
      <c r="M3" s="68">
        <f>L3*10000/314.16</f>
        <v>17.607499999999998</v>
      </c>
      <c r="N3" s="69">
        <f>K3+M3</f>
        <v>18.7164848</v>
      </c>
    </row>
    <row r="4" spans="1:14" x14ac:dyDescent="0.25">
      <c r="A4" s="203"/>
      <c r="B4" s="182"/>
      <c r="C4" s="24" t="s">
        <v>9</v>
      </c>
      <c r="D4" s="40" t="s">
        <v>10</v>
      </c>
      <c r="E4" s="44"/>
      <c r="F4" s="44"/>
      <c r="G4" s="44">
        <v>7</v>
      </c>
      <c r="H4" s="61">
        <f>G4*10000/314.16</f>
        <v>222.81639928698752</v>
      </c>
      <c r="I4" s="61">
        <f t="shared" ref="I4:I16" si="0">F4+H4</f>
        <v>222.81639928698752</v>
      </c>
      <c r="J4" s="48"/>
      <c r="K4" s="47"/>
      <c r="L4" s="47">
        <f>'3. All 10-30cm'!G17+'3. All 10-30cm'!G18+'3. All 10-30cm'!G19+'3. All 10-30cm'!G20+'3. All 10-30cm'!G21+'3. All 10-30cm'!G22+'3. All 10-30cm'!G23</f>
        <v>0.23051489999999997</v>
      </c>
      <c r="M4" s="70">
        <f t="shared" ref="M4:M25" si="1">L4*10000/314.16</f>
        <v>7.3374999999999995</v>
      </c>
      <c r="N4" s="71">
        <f t="shared" ref="N4:N29" si="2">K4+M4</f>
        <v>7.3374999999999995</v>
      </c>
    </row>
    <row r="5" spans="1:14" x14ac:dyDescent="0.25">
      <c r="A5" s="203"/>
      <c r="B5" s="182" t="s">
        <v>11</v>
      </c>
      <c r="C5" s="24" t="s">
        <v>7</v>
      </c>
      <c r="D5" s="40" t="s">
        <v>8</v>
      </c>
      <c r="E5" s="44">
        <v>1</v>
      </c>
      <c r="F5" s="44">
        <f>E5*10000/2000</f>
        <v>5</v>
      </c>
      <c r="G5" s="44">
        <v>4</v>
      </c>
      <c r="H5" s="61">
        <f t="shared" ref="H5:H16" si="3">G5*10000/314.16</f>
        <v>127.32365673542144</v>
      </c>
      <c r="I5" s="61">
        <f t="shared" si="0"/>
        <v>132.32365673542142</v>
      </c>
      <c r="J5" s="47">
        <f>'2. All 30+ cm'!G6</f>
        <v>8.5530060000000005E-2</v>
      </c>
      <c r="K5" s="47">
        <f t="shared" ref="K5:K29" si="4">J5*10000/2000</f>
        <v>0.42765030000000004</v>
      </c>
      <c r="L5" s="47">
        <f>'3. All 10-30cm'!G36+'3. All 10-30cm'!G37+'3. All 10-30cm'!G38+'3. All 10-30cm'!G39</f>
        <v>0.13932996</v>
      </c>
      <c r="M5" s="70">
        <f t="shared" si="1"/>
        <v>4.4349999999999996</v>
      </c>
      <c r="N5" s="71">
        <f t="shared" si="2"/>
        <v>4.8626502999999994</v>
      </c>
    </row>
    <row r="6" spans="1:14" x14ac:dyDescent="0.25">
      <c r="A6" s="203"/>
      <c r="B6" s="182"/>
      <c r="C6" s="24" t="s">
        <v>12</v>
      </c>
      <c r="D6" s="40" t="s">
        <v>13</v>
      </c>
      <c r="E6" s="44"/>
      <c r="F6" s="44"/>
      <c r="G6" s="44">
        <v>12</v>
      </c>
      <c r="H6" s="61">
        <f t="shared" si="3"/>
        <v>381.97097020626427</v>
      </c>
      <c r="I6" s="61">
        <f t="shared" si="0"/>
        <v>381.97097020626427</v>
      </c>
      <c r="J6" s="48"/>
      <c r="K6" s="47"/>
      <c r="L6" s="47">
        <f>'3. All 10-30cm'!G24+'3. All 10-30cm'!G25+'3. All 10-30cm'!G26+'3. All 10-30cm'!G27+'3. All 10-30cm'!G28+'3. All 10-30cm'!G29+'3. All 10-30cm'!G30+'3. All 10-30cm'!G31+'3. All 10-30cm'!G32+'3. All 10-30cm'!G33+'3. All 10-30cm'!G34+'3. All 10-30cm'!G35</f>
        <v>0.43668240000000003</v>
      </c>
      <c r="M6" s="70">
        <f t="shared" si="1"/>
        <v>13.9</v>
      </c>
      <c r="N6" s="71">
        <f t="shared" si="2"/>
        <v>13.9</v>
      </c>
    </row>
    <row r="7" spans="1:14" x14ac:dyDescent="0.25">
      <c r="A7" s="203"/>
      <c r="B7" s="22" t="s">
        <v>14</v>
      </c>
      <c r="C7" s="24" t="s">
        <v>7</v>
      </c>
      <c r="D7" s="40" t="s">
        <v>8</v>
      </c>
      <c r="E7" s="44">
        <v>25</v>
      </c>
      <c r="F7" s="44">
        <f>E7*10000/2000</f>
        <v>125</v>
      </c>
      <c r="G7" s="44"/>
      <c r="H7" s="61"/>
      <c r="I7" s="61">
        <f t="shared" si="0"/>
        <v>125</v>
      </c>
      <c r="J7" s="47">
        <f>'2. All 30+ cm'!G7+'2. All 30+ cm'!G8+'2. All 30+ cm'!G9+'2. All 30+ cm'!G10+'2. All 30+ cm'!G11+'2. All 30+ cm'!G12+'2. All 30+ cm'!G13+'2. All 30+ cm'!G14+'2. All 30+ cm'!G15+'2. All 30+ cm'!G16+'2. All 30+ cm'!G17+'2. All 30+ cm'!G18+'2. All 30+ cm'!G19+'2. All 30+ cm'!G20+'2. All 30+ cm'!G21+'2. All 30+ cm'!G22+'2. All 30+ cm'!G23+'2. All 30+ cm'!G24+'2. All 30+ cm'!G25+'2. All 30+ cm'!G26+'2. All 30+ cm'!G27+'2. All 30+ cm'!G28+'2. All 30+ cm'!G29+'2. All 30+ cm'!G30+'2. All 30+ cm'!G31</f>
        <v>3.1472548800000002</v>
      </c>
      <c r="K7" s="47">
        <f t="shared" si="4"/>
        <v>15.736274400000001</v>
      </c>
      <c r="L7" s="48"/>
      <c r="M7" s="70"/>
      <c r="N7" s="71">
        <f t="shared" si="2"/>
        <v>15.736274400000001</v>
      </c>
    </row>
    <row r="8" spans="1:14" x14ac:dyDescent="0.25">
      <c r="A8" s="203"/>
      <c r="B8" s="182" t="s">
        <v>15</v>
      </c>
      <c r="C8" s="24" t="s">
        <v>16</v>
      </c>
      <c r="D8" s="40" t="s">
        <v>17</v>
      </c>
      <c r="E8" s="44">
        <v>1</v>
      </c>
      <c r="F8" s="44">
        <f>E8*10000/2000</f>
        <v>5</v>
      </c>
      <c r="G8" s="44">
        <v>2</v>
      </c>
      <c r="H8" s="61">
        <f t="shared" si="3"/>
        <v>63.661828367710719</v>
      </c>
      <c r="I8" s="61">
        <f t="shared" si="0"/>
        <v>68.661828367710712</v>
      </c>
      <c r="J8" s="47">
        <f>'2. All 30+ cm'!G32</f>
        <v>7.5476940000000006E-2</v>
      </c>
      <c r="K8" s="47">
        <f t="shared" si="4"/>
        <v>0.37738470000000002</v>
      </c>
      <c r="L8" s="47">
        <f>'3. All 10-30cm'!G41+'3. All 10-30cm'!G42</f>
        <v>0.10218054000000001</v>
      </c>
      <c r="M8" s="70">
        <f t="shared" si="1"/>
        <v>3.2525000000000004</v>
      </c>
      <c r="N8" s="71">
        <f t="shared" si="2"/>
        <v>3.6298847000000003</v>
      </c>
    </row>
    <row r="9" spans="1:14" ht="15.75" thickBot="1" x14ac:dyDescent="0.3">
      <c r="A9" s="204"/>
      <c r="B9" s="205"/>
      <c r="C9" s="37" t="s">
        <v>7</v>
      </c>
      <c r="D9" s="39" t="s">
        <v>8</v>
      </c>
      <c r="E9" s="62"/>
      <c r="F9" s="62"/>
      <c r="G9" s="62">
        <v>6</v>
      </c>
      <c r="H9" s="63">
        <f t="shared" si="3"/>
        <v>190.98548510313213</v>
      </c>
      <c r="I9" s="63">
        <f t="shared" si="0"/>
        <v>190.98548510313213</v>
      </c>
      <c r="J9" s="72"/>
      <c r="K9" s="73"/>
      <c r="L9" s="73">
        <f>'3. All 10-30cm'!G40+'3. All 10-30cm'!G43+'3. All 10-30cm'!G44+'3. All 10-30cm'!G45+'3. All 10-30cm'!G46+'3. All 10-30cm'!G47</f>
        <v>0.22721622</v>
      </c>
      <c r="M9" s="74">
        <f t="shared" si="1"/>
        <v>7.232499999999999</v>
      </c>
      <c r="N9" s="75">
        <f t="shared" si="2"/>
        <v>7.232499999999999</v>
      </c>
    </row>
    <row r="10" spans="1:14" x14ac:dyDescent="0.25">
      <c r="A10" s="188" t="s">
        <v>33</v>
      </c>
      <c r="B10" s="35" t="s">
        <v>14</v>
      </c>
      <c r="C10" s="36" t="s">
        <v>18</v>
      </c>
      <c r="D10" s="38" t="s">
        <v>19</v>
      </c>
      <c r="E10" s="59"/>
      <c r="F10" s="59"/>
      <c r="G10" s="59">
        <v>11</v>
      </c>
      <c r="H10" s="60">
        <f t="shared" si="3"/>
        <v>350.14005602240894</v>
      </c>
      <c r="I10" s="60">
        <f t="shared" si="0"/>
        <v>350.14005602240894</v>
      </c>
      <c r="J10" s="76"/>
      <c r="K10" s="67"/>
      <c r="L10" s="67">
        <f>'3. All 10-30cm'!G48+'3. All 10-30cm'!G49+'3. All 10-30cm'!G50+'3. All 10-30cm'!G51+'3. All 10-30cm'!G52+'3. All 10-30cm'!G54+'3. All 10-30cm'!G53+'3. All 10-30cm'!G55+'3. All 10-30cm'!G56+'3. All 10-30cm'!G57+'3. All 10-30cm'!G58</f>
        <v>0.2505426</v>
      </c>
      <c r="M10" s="68">
        <f t="shared" si="1"/>
        <v>7.9749999999999988</v>
      </c>
      <c r="N10" s="69">
        <f t="shared" si="2"/>
        <v>7.9749999999999988</v>
      </c>
    </row>
    <row r="11" spans="1:14" x14ac:dyDescent="0.25">
      <c r="A11" s="203"/>
      <c r="B11" s="182" t="s">
        <v>15</v>
      </c>
      <c r="C11" s="24" t="s">
        <v>18</v>
      </c>
      <c r="D11" s="40" t="s">
        <v>19</v>
      </c>
      <c r="E11" s="44">
        <v>1</v>
      </c>
      <c r="F11" s="44">
        <f>E11*10000/2000</f>
        <v>5</v>
      </c>
      <c r="G11" s="44">
        <v>9</v>
      </c>
      <c r="H11" s="61">
        <f t="shared" si="3"/>
        <v>286.47822765469823</v>
      </c>
      <c r="I11" s="61">
        <f t="shared" si="0"/>
        <v>291.47822765469823</v>
      </c>
      <c r="J11" s="47">
        <f>'2. All 30+ cm'!G33</f>
        <v>9.079224000000001E-2</v>
      </c>
      <c r="K11" s="47">
        <f t="shared" si="4"/>
        <v>0.45396120000000006</v>
      </c>
      <c r="L11" s="47">
        <f>'3. All 10-30cm'!G59+'3. All 10-30cm'!G62+'3. All 10-30cm'!G67+'3. All 10-30cm'!G68+'3. All 10-30cm'!G69+'3. All 10-30cm'!G71+'3. All 10-30cm'!G72+'3. All 10-30cm'!G74+'3. All 10-30cm'!G70</f>
        <v>0.16783997999999997</v>
      </c>
      <c r="M11" s="70">
        <f t="shared" si="1"/>
        <v>5.3424999999999985</v>
      </c>
      <c r="N11" s="71">
        <f t="shared" si="2"/>
        <v>5.7964611999999986</v>
      </c>
    </row>
    <row r="12" spans="1:14" x14ac:dyDescent="0.25">
      <c r="A12" s="203"/>
      <c r="B12" s="182"/>
      <c r="C12" s="24" t="s">
        <v>9</v>
      </c>
      <c r="D12" s="40" t="s">
        <v>10</v>
      </c>
      <c r="E12" s="44"/>
      <c r="F12" s="44"/>
      <c r="G12" s="44">
        <v>2</v>
      </c>
      <c r="H12" s="61">
        <f t="shared" si="3"/>
        <v>63.661828367710719</v>
      </c>
      <c r="I12" s="61">
        <f t="shared" si="0"/>
        <v>63.661828367710719</v>
      </c>
      <c r="J12" s="48"/>
      <c r="K12" s="47"/>
      <c r="L12" s="47">
        <f>'3. All 10-30cm'!G60+'3. All 10-30cm'!G73</f>
        <v>4.940166E-2</v>
      </c>
      <c r="M12" s="70">
        <f t="shared" si="1"/>
        <v>1.5724999999999998</v>
      </c>
      <c r="N12" s="71">
        <f t="shared" si="2"/>
        <v>1.5724999999999998</v>
      </c>
    </row>
    <row r="13" spans="1:14" x14ac:dyDescent="0.25">
      <c r="A13" s="203"/>
      <c r="B13" s="182"/>
      <c r="C13" s="24" t="s">
        <v>20</v>
      </c>
      <c r="D13" s="40" t="s">
        <v>171</v>
      </c>
      <c r="E13" s="44"/>
      <c r="F13" s="44"/>
      <c r="G13" s="44">
        <v>2</v>
      </c>
      <c r="H13" s="61">
        <f t="shared" si="3"/>
        <v>63.661828367710719</v>
      </c>
      <c r="I13" s="61">
        <f t="shared" si="0"/>
        <v>63.661828367710719</v>
      </c>
      <c r="J13" s="48"/>
      <c r="K13" s="47"/>
      <c r="L13" s="47">
        <f>'3. All 10-30cm'!G61+'3. All 10-30cm'!G63</f>
        <v>5.1050999999999999E-2</v>
      </c>
      <c r="M13" s="70">
        <f t="shared" si="1"/>
        <v>1.6249999999999998</v>
      </c>
      <c r="N13" s="71">
        <f t="shared" si="2"/>
        <v>1.6249999999999998</v>
      </c>
    </row>
    <row r="14" spans="1:14" x14ac:dyDescent="0.25">
      <c r="A14" s="203"/>
      <c r="B14" s="182"/>
      <c r="C14" s="24" t="s">
        <v>7</v>
      </c>
      <c r="D14" s="40" t="s">
        <v>8</v>
      </c>
      <c r="E14" s="44"/>
      <c r="F14" s="44"/>
      <c r="G14" s="44">
        <v>1</v>
      </c>
      <c r="H14" s="61">
        <f t="shared" si="3"/>
        <v>31.830914183855359</v>
      </c>
      <c r="I14" s="61">
        <f t="shared" si="0"/>
        <v>31.830914183855359</v>
      </c>
      <c r="J14" s="48"/>
      <c r="K14" s="47"/>
      <c r="L14" s="47">
        <f>'3. All 10-30cm'!G64</f>
        <v>1.76715E-2</v>
      </c>
      <c r="M14" s="70">
        <f t="shared" si="1"/>
        <v>0.5625</v>
      </c>
      <c r="N14" s="71">
        <f t="shared" si="2"/>
        <v>0.5625</v>
      </c>
    </row>
    <row r="15" spans="1:14" x14ac:dyDescent="0.25">
      <c r="A15" s="203"/>
      <c r="B15" s="182"/>
      <c r="C15" s="24" t="s">
        <v>21</v>
      </c>
      <c r="D15" s="40" t="s">
        <v>22</v>
      </c>
      <c r="E15" s="44"/>
      <c r="F15" s="44"/>
      <c r="G15" s="44">
        <v>1</v>
      </c>
      <c r="H15" s="61">
        <f t="shared" si="3"/>
        <v>31.830914183855359</v>
      </c>
      <c r="I15" s="61">
        <f t="shared" si="0"/>
        <v>31.830914183855359</v>
      </c>
      <c r="J15" s="48"/>
      <c r="K15" s="47"/>
      <c r="L15" s="47">
        <f>'3. All 10-30cm'!G65</f>
        <v>1.3273260000000002E-2</v>
      </c>
      <c r="M15" s="70">
        <f t="shared" si="1"/>
        <v>0.42250000000000004</v>
      </c>
      <c r="N15" s="71">
        <f t="shared" si="2"/>
        <v>0.42250000000000004</v>
      </c>
    </row>
    <row r="16" spans="1:14" ht="15.75" thickBot="1" x14ac:dyDescent="0.3">
      <c r="A16" s="204"/>
      <c r="B16" s="205"/>
      <c r="C16" s="37" t="s">
        <v>12</v>
      </c>
      <c r="D16" s="39" t="s">
        <v>13</v>
      </c>
      <c r="E16" s="62"/>
      <c r="F16" s="62"/>
      <c r="G16" s="62">
        <v>1</v>
      </c>
      <c r="H16" s="63">
        <f t="shared" si="3"/>
        <v>31.830914183855359</v>
      </c>
      <c r="I16" s="63">
        <f t="shared" si="0"/>
        <v>31.830914183855359</v>
      </c>
      <c r="J16" s="72"/>
      <c r="K16" s="73"/>
      <c r="L16" s="73">
        <f>'3. All 10-30cm'!G66</f>
        <v>1.130976E-2</v>
      </c>
      <c r="M16" s="74">
        <f t="shared" si="1"/>
        <v>0.36</v>
      </c>
      <c r="N16" s="75">
        <f t="shared" si="2"/>
        <v>0.36</v>
      </c>
    </row>
    <row r="17" spans="1:14" x14ac:dyDescent="0.25">
      <c r="A17" s="188" t="s">
        <v>76</v>
      </c>
      <c r="B17" s="189" t="s">
        <v>14</v>
      </c>
      <c r="C17" s="36" t="s">
        <v>53</v>
      </c>
      <c r="D17" s="38" t="s">
        <v>54</v>
      </c>
      <c r="E17" s="59">
        <v>1</v>
      </c>
      <c r="F17" s="59">
        <f t="shared" ref="F17:F24" si="5">E17*10000/2000</f>
        <v>5</v>
      </c>
      <c r="G17" s="59"/>
      <c r="H17" s="60"/>
      <c r="I17" s="60">
        <f t="shared" ref="I17:I29" si="6">F17+H17</f>
        <v>5</v>
      </c>
      <c r="J17" s="67">
        <f>'2. All 30+ cm'!G36</f>
        <v>9.6211499999999991E-2</v>
      </c>
      <c r="K17" s="67">
        <f t="shared" si="4"/>
        <v>0.48105749999999997</v>
      </c>
      <c r="L17" s="76"/>
      <c r="M17" s="68"/>
      <c r="N17" s="69">
        <f t="shared" si="2"/>
        <v>0.48105749999999997</v>
      </c>
    </row>
    <row r="18" spans="1:14" x14ac:dyDescent="0.25">
      <c r="A18" s="203"/>
      <c r="B18" s="182"/>
      <c r="C18" s="24" t="s">
        <v>77</v>
      </c>
      <c r="D18" s="40" t="s">
        <v>78</v>
      </c>
      <c r="E18" s="44">
        <v>1</v>
      </c>
      <c r="F18" s="44">
        <f t="shared" si="5"/>
        <v>5</v>
      </c>
      <c r="G18" s="44"/>
      <c r="H18" s="61"/>
      <c r="I18" s="61">
        <f t="shared" si="6"/>
        <v>5</v>
      </c>
      <c r="J18" s="47">
        <f>'2. All 30+ cm'!G38</f>
        <v>0.13854455999999998</v>
      </c>
      <c r="K18" s="47">
        <f t="shared" si="4"/>
        <v>0.69272279999999986</v>
      </c>
      <c r="L18" s="48"/>
      <c r="M18" s="70"/>
      <c r="N18" s="71">
        <f t="shared" si="2"/>
        <v>0.69272279999999986</v>
      </c>
    </row>
    <row r="19" spans="1:14" x14ac:dyDescent="0.25">
      <c r="A19" s="203"/>
      <c r="B19" s="182"/>
      <c r="C19" s="24" t="s">
        <v>79</v>
      </c>
      <c r="D19" s="40" t="s">
        <v>80</v>
      </c>
      <c r="E19" s="44">
        <v>2</v>
      </c>
      <c r="F19" s="44">
        <f t="shared" si="5"/>
        <v>10</v>
      </c>
      <c r="G19" s="44"/>
      <c r="H19" s="61"/>
      <c r="I19" s="61">
        <f t="shared" si="6"/>
        <v>10</v>
      </c>
      <c r="J19" s="47">
        <f>'2. All 30+ cm'!G39+'2. All 30+ cm'!G40</f>
        <v>0.22933680000000001</v>
      </c>
      <c r="K19" s="47">
        <f t="shared" si="4"/>
        <v>1.146684</v>
      </c>
      <c r="L19" s="48"/>
      <c r="M19" s="70"/>
      <c r="N19" s="71">
        <f t="shared" si="2"/>
        <v>1.146684</v>
      </c>
    </row>
    <row r="20" spans="1:14" x14ac:dyDescent="0.25">
      <c r="A20" s="203"/>
      <c r="B20" s="182"/>
      <c r="C20" s="24" t="s">
        <v>57</v>
      </c>
      <c r="D20" s="40" t="s">
        <v>58</v>
      </c>
      <c r="E20" s="44">
        <v>1</v>
      </c>
      <c r="F20" s="44">
        <f t="shared" si="5"/>
        <v>5</v>
      </c>
      <c r="G20" s="44"/>
      <c r="H20" s="61"/>
      <c r="I20" s="61">
        <f t="shared" si="6"/>
        <v>5</v>
      </c>
      <c r="J20" s="47">
        <f>'2. All 30+ cm'!G34</f>
        <v>8.0424960000000004E-2</v>
      </c>
      <c r="K20" s="47">
        <f t="shared" si="4"/>
        <v>0.4021248</v>
      </c>
      <c r="L20" s="48"/>
      <c r="M20" s="70"/>
      <c r="N20" s="71">
        <f t="shared" si="2"/>
        <v>0.4021248</v>
      </c>
    </row>
    <row r="21" spans="1:14" x14ac:dyDescent="0.25">
      <c r="A21" s="203"/>
      <c r="B21" s="182"/>
      <c r="C21" s="24" t="s">
        <v>9</v>
      </c>
      <c r="D21" s="40" t="s">
        <v>10</v>
      </c>
      <c r="E21" s="44">
        <v>1</v>
      </c>
      <c r="F21" s="44">
        <f t="shared" si="5"/>
        <v>5</v>
      </c>
      <c r="G21" s="44"/>
      <c r="H21" s="61"/>
      <c r="I21" s="61">
        <f t="shared" si="6"/>
        <v>5</v>
      </c>
      <c r="J21" s="47">
        <f>'2. All 30+ cm'!G42</f>
        <v>0.21237216000000003</v>
      </c>
      <c r="K21" s="47">
        <f t="shared" si="4"/>
        <v>1.0618608</v>
      </c>
      <c r="L21" s="48"/>
      <c r="M21" s="70"/>
      <c r="N21" s="71">
        <f t="shared" si="2"/>
        <v>1.0618608</v>
      </c>
    </row>
    <row r="22" spans="1:14" x14ac:dyDescent="0.25">
      <c r="A22" s="203"/>
      <c r="B22" s="182"/>
      <c r="C22" s="24" t="s">
        <v>40</v>
      </c>
      <c r="D22" s="40" t="s">
        <v>41</v>
      </c>
      <c r="E22" s="44">
        <v>1</v>
      </c>
      <c r="F22" s="44">
        <f t="shared" si="5"/>
        <v>5</v>
      </c>
      <c r="G22" s="44"/>
      <c r="H22" s="61"/>
      <c r="I22" s="61">
        <f t="shared" si="6"/>
        <v>5</v>
      </c>
      <c r="J22" s="47">
        <f>'2. All 30+ cm'!G41</f>
        <v>8.0424960000000004E-2</v>
      </c>
      <c r="K22" s="47">
        <f t="shared" si="4"/>
        <v>0.4021248</v>
      </c>
      <c r="L22" s="48"/>
      <c r="M22" s="70"/>
      <c r="N22" s="71">
        <f t="shared" si="2"/>
        <v>0.4021248</v>
      </c>
    </row>
    <row r="23" spans="1:14" ht="30" x14ac:dyDescent="0.25">
      <c r="A23" s="203"/>
      <c r="B23" s="182"/>
      <c r="C23" s="24" t="s">
        <v>44</v>
      </c>
      <c r="D23" s="40" t="s">
        <v>45</v>
      </c>
      <c r="E23" s="44">
        <v>2</v>
      </c>
      <c r="F23" s="44">
        <f t="shared" si="5"/>
        <v>10</v>
      </c>
      <c r="G23" s="44">
        <v>1</v>
      </c>
      <c r="H23" s="61">
        <f>G23*10000/314.16</f>
        <v>31.830914183855359</v>
      </c>
      <c r="I23" s="61">
        <f t="shared" si="6"/>
        <v>41.830914183855356</v>
      </c>
      <c r="J23" s="47">
        <f>'2. All 30+ cm'!G35+'2. All 30+ cm'!G37</f>
        <v>0.282744</v>
      </c>
      <c r="K23" s="47">
        <f t="shared" si="4"/>
        <v>1.4137200000000001</v>
      </c>
      <c r="L23" s="47">
        <f>'3. All 10-30cm'!G76</f>
        <v>5.3093040000000008E-2</v>
      </c>
      <c r="M23" s="70">
        <f t="shared" si="1"/>
        <v>1.6900000000000002</v>
      </c>
      <c r="N23" s="71">
        <f t="shared" si="2"/>
        <v>3.10372</v>
      </c>
    </row>
    <row r="24" spans="1:14" x14ac:dyDescent="0.25">
      <c r="A24" s="203"/>
      <c r="B24" s="182"/>
      <c r="C24" s="24" t="s">
        <v>81</v>
      </c>
      <c r="D24" s="40" t="s">
        <v>70</v>
      </c>
      <c r="E24" s="44">
        <v>1</v>
      </c>
      <c r="F24" s="44">
        <f t="shared" si="5"/>
        <v>5</v>
      </c>
      <c r="G24" s="44"/>
      <c r="H24" s="61"/>
      <c r="I24" s="61">
        <f t="shared" si="6"/>
        <v>5</v>
      </c>
      <c r="J24" s="47">
        <f>'2. All 30+ cm'!G43</f>
        <v>9.079224000000001E-2</v>
      </c>
      <c r="K24" s="47">
        <f t="shared" si="4"/>
        <v>0.45396120000000006</v>
      </c>
      <c r="L24" s="48"/>
      <c r="M24" s="70"/>
      <c r="N24" s="71">
        <f t="shared" si="2"/>
        <v>0.45396120000000006</v>
      </c>
    </row>
    <row r="25" spans="1:14" ht="15.75" thickBot="1" x14ac:dyDescent="0.3">
      <c r="A25" s="204"/>
      <c r="B25" s="205"/>
      <c r="C25" s="37" t="s">
        <v>82</v>
      </c>
      <c r="D25" s="39" t="s">
        <v>83</v>
      </c>
      <c r="E25" s="62"/>
      <c r="F25" s="62"/>
      <c r="G25" s="62">
        <v>2</v>
      </c>
      <c r="H25" s="63">
        <f>G25*10000/314.16</f>
        <v>63.661828367710719</v>
      </c>
      <c r="I25" s="63">
        <f t="shared" si="6"/>
        <v>63.661828367710719</v>
      </c>
      <c r="J25" s="72"/>
      <c r="K25" s="73"/>
      <c r="L25" s="73">
        <f>'3. All 10-30cm'!G75+'3. All 10-30cm'!G77</f>
        <v>6.9900600000000007E-2</v>
      </c>
      <c r="M25" s="74">
        <f t="shared" si="1"/>
        <v>2.2250000000000001</v>
      </c>
      <c r="N25" s="75">
        <f t="shared" si="2"/>
        <v>2.2250000000000001</v>
      </c>
    </row>
    <row r="26" spans="1:14" x14ac:dyDescent="0.25">
      <c r="A26" s="188" t="s">
        <v>91</v>
      </c>
      <c r="B26" s="35" t="s">
        <v>6</v>
      </c>
      <c r="C26" s="36" t="s">
        <v>7</v>
      </c>
      <c r="D26" s="38" t="s">
        <v>8</v>
      </c>
      <c r="E26" s="59">
        <v>3</v>
      </c>
      <c r="F26" s="59">
        <f>E26*10000/2000</f>
        <v>15</v>
      </c>
      <c r="G26" s="59"/>
      <c r="H26" s="60"/>
      <c r="I26" s="64">
        <f t="shared" si="6"/>
        <v>15</v>
      </c>
      <c r="J26" s="67">
        <f>'2. All 30+ cm'!G44+'2. All 30+ cm'!G45+'2. All 30+ cm'!G46</f>
        <v>5.2033535400000002</v>
      </c>
      <c r="K26" s="67">
        <f t="shared" si="4"/>
        <v>26.016767699999999</v>
      </c>
      <c r="L26" s="76"/>
      <c r="M26" s="68"/>
      <c r="N26" s="69">
        <f t="shared" si="2"/>
        <v>26.016767699999999</v>
      </c>
    </row>
    <row r="27" spans="1:14" x14ac:dyDescent="0.25">
      <c r="A27" s="203"/>
      <c r="B27" s="182" t="s">
        <v>14</v>
      </c>
      <c r="C27" s="24" t="s">
        <v>7</v>
      </c>
      <c r="D27" s="40" t="s">
        <v>8</v>
      </c>
      <c r="E27" s="44">
        <v>10</v>
      </c>
      <c r="F27" s="44">
        <f>E27*10000/2000</f>
        <v>50</v>
      </c>
      <c r="G27" s="44"/>
      <c r="H27" s="61"/>
      <c r="I27" s="45">
        <f t="shared" si="6"/>
        <v>50</v>
      </c>
      <c r="J27" s="47">
        <f>'2. All 30+ cm'!G47+'2. All 30+ cm'!G48+'2. All 30+ cm'!G49+'2. All 30+ cm'!G50+'2. All 30+ cm'!G51+'2. All 30+ cm'!G52+'2. All 30+ cm'!G53+'2. All 30+ cm'!G55+'2. All 30+ cm'!G56+'2. All 30+ cm'!G58</f>
        <v>22.008871500000001</v>
      </c>
      <c r="K27" s="47">
        <f t="shared" si="4"/>
        <v>110.04435750000002</v>
      </c>
      <c r="L27" s="48"/>
      <c r="M27" s="70"/>
      <c r="N27" s="71">
        <f t="shared" si="2"/>
        <v>110.04435750000002</v>
      </c>
    </row>
    <row r="28" spans="1:14" x14ac:dyDescent="0.25">
      <c r="A28" s="203"/>
      <c r="B28" s="182"/>
      <c r="C28" s="24" t="s">
        <v>92</v>
      </c>
      <c r="D28" s="40" t="s">
        <v>93</v>
      </c>
      <c r="E28" s="44">
        <v>1</v>
      </c>
      <c r="F28" s="44">
        <f>E28*10000/2000</f>
        <v>5</v>
      </c>
      <c r="G28" s="44"/>
      <c r="H28" s="61"/>
      <c r="I28" s="45">
        <f t="shared" si="6"/>
        <v>5</v>
      </c>
      <c r="J28" s="47">
        <f>'2. All 30+ cm'!G54</f>
        <v>2.0106240000000004</v>
      </c>
      <c r="K28" s="47">
        <f t="shared" si="4"/>
        <v>10.053120000000003</v>
      </c>
      <c r="L28" s="48"/>
      <c r="M28" s="70"/>
      <c r="N28" s="71">
        <f t="shared" si="2"/>
        <v>10.053120000000003</v>
      </c>
    </row>
    <row r="29" spans="1:14" ht="15.75" thickBot="1" x14ac:dyDescent="0.3">
      <c r="A29" s="204"/>
      <c r="B29" s="205"/>
      <c r="C29" s="37" t="s">
        <v>94</v>
      </c>
      <c r="D29" s="39" t="s">
        <v>95</v>
      </c>
      <c r="E29" s="62">
        <v>1</v>
      </c>
      <c r="F29" s="62">
        <f>E29*10000/2000</f>
        <v>5</v>
      </c>
      <c r="G29" s="62"/>
      <c r="H29" s="62"/>
      <c r="I29" s="65">
        <f t="shared" si="6"/>
        <v>5</v>
      </c>
      <c r="J29" s="73">
        <f>'2. All 30+ cm'!G57</f>
        <v>1.5836805599999999</v>
      </c>
      <c r="K29" s="73">
        <f t="shared" si="4"/>
        <v>7.9184028</v>
      </c>
      <c r="L29" s="72"/>
      <c r="M29" s="74"/>
      <c r="N29" s="75">
        <f t="shared" si="2"/>
        <v>7.9184028</v>
      </c>
    </row>
    <row r="31" spans="1:14" x14ac:dyDescent="0.25">
      <c r="I31" s="108"/>
    </row>
    <row r="32" spans="1:14" ht="15.75" thickBot="1" x14ac:dyDescent="0.3"/>
    <row r="33" spans="2:9" ht="15.75" customHeight="1" thickBot="1" x14ac:dyDescent="0.3">
      <c r="B33" s="199" t="s">
        <v>179</v>
      </c>
      <c r="C33" s="200"/>
      <c r="D33" s="200"/>
      <c r="E33" s="200"/>
      <c r="F33" s="200"/>
      <c r="G33" s="200"/>
      <c r="H33" s="200"/>
      <c r="I33" s="202"/>
    </row>
    <row r="34" spans="2:9" ht="45" x14ac:dyDescent="0.25">
      <c r="B34" s="100" t="s">
        <v>172</v>
      </c>
      <c r="C34" s="95" t="s">
        <v>165</v>
      </c>
      <c r="D34" s="96" t="s">
        <v>166</v>
      </c>
      <c r="E34" s="97" t="s">
        <v>167</v>
      </c>
      <c r="F34" s="95" t="s">
        <v>168</v>
      </c>
      <c r="G34" s="96" t="s">
        <v>169</v>
      </c>
      <c r="H34" s="97" t="s">
        <v>170</v>
      </c>
      <c r="I34" s="103" t="s">
        <v>173</v>
      </c>
    </row>
    <row r="35" spans="2:9" x14ac:dyDescent="0.25">
      <c r="B35" s="101" t="s">
        <v>116</v>
      </c>
      <c r="C35" s="105">
        <f>SUM(F3:F16)/9</f>
        <v>17.222222222222221</v>
      </c>
      <c r="D35" s="33">
        <f>SUM(H3:H16)/9</f>
        <v>254.64731347084287</v>
      </c>
      <c r="E35" s="106">
        <f>C35+D35</f>
        <v>271.86953569306507</v>
      </c>
      <c r="F35" s="98">
        <f>SUM(K3:K16)/9</f>
        <v>2.0115839333333332</v>
      </c>
      <c r="G35" s="11">
        <f>SUM(M3:M16)/9</f>
        <v>7.958333333333333</v>
      </c>
      <c r="H35" s="99">
        <f>F35+G35</f>
        <v>9.9699172666666662</v>
      </c>
      <c r="I35" s="104">
        <v>7</v>
      </c>
    </row>
    <row r="36" spans="2:9" x14ac:dyDescent="0.25">
      <c r="B36" s="101" t="s">
        <v>114</v>
      </c>
      <c r="C36" s="105">
        <f>SUM(F17:F25)/7</f>
        <v>7.1428571428571432</v>
      </c>
      <c r="D36" s="33">
        <f>SUM(H17:H25)/7</f>
        <v>13.64182036450944</v>
      </c>
      <c r="E36" s="106">
        <f>C36+D36</f>
        <v>20.784677507366585</v>
      </c>
      <c r="F36" s="98">
        <f>SUM(K17:K25)/7</f>
        <v>0.86489370000000021</v>
      </c>
      <c r="G36" s="11">
        <f>SUM(M17:M25)/7</f>
        <v>0.55928571428571427</v>
      </c>
      <c r="H36" s="99">
        <f>F36+G36</f>
        <v>1.4241794142857145</v>
      </c>
      <c r="I36" s="104">
        <v>9</v>
      </c>
    </row>
    <row r="37" spans="2:9" ht="15.75" thickBot="1" x14ac:dyDescent="0.3">
      <c r="B37" s="109" t="s">
        <v>113</v>
      </c>
      <c r="C37" s="110">
        <f>SUM(F26:F29)/6</f>
        <v>12.5</v>
      </c>
      <c r="D37" s="111">
        <f>SUM(H26:H29)/6</f>
        <v>0</v>
      </c>
      <c r="E37" s="112">
        <f>C37+D37</f>
        <v>12.5</v>
      </c>
      <c r="F37" s="113">
        <f>SUM(K26:K29)/6</f>
        <v>25.672108000000005</v>
      </c>
      <c r="G37" s="114">
        <f>SUM(M26:M29)/6</f>
        <v>0</v>
      </c>
      <c r="H37" s="115">
        <f>F37+G37</f>
        <v>25.672108000000005</v>
      </c>
      <c r="I37" s="104">
        <v>3</v>
      </c>
    </row>
    <row r="38" spans="2:9" ht="45.75" thickBot="1" x14ac:dyDescent="0.3">
      <c r="B38" s="116" t="s">
        <v>178</v>
      </c>
      <c r="C38" s="117">
        <f>SUM(F3:F29)/22</f>
        <v>12.727272727272727</v>
      </c>
      <c r="D38" s="117">
        <f>SUM(H3:H29)/22</f>
        <v>108.51448017223419</v>
      </c>
      <c r="E38" s="118">
        <f>C38+D38</f>
        <v>121.24175289950691</v>
      </c>
      <c r="F38" s="119">
        <f>SUM(K3:K29)/22</f>
        <v>8.0995981500000003</v>
      </c>
      <c r="G38" s="119">
        <f>SUM(M3:M29)/22</f>
        <v>3.4336363636363632</v>
      </c>
      <c r="H38" s="121">
        <f>F38+G38</f>
        <v>11.533234513636364</v>
      </c>
      <c r="I38" s="120">
        <v>17</v>
      </c>
    </row>
  </sheetData>
  <mergeCells count="15">
    <mergeCell ref="J1:K1"/>
    <mergeCell ref="L1:M1"/>
    <mergeCell ref="E1:F1"/>
    <mergeCell ref="G1:H1"/>
    <mergeCell ref="A3:A9"/>
    <mergeCell ref="B3:B4"/>
    <mergeCell ref="B5:B6"/>
    <mergeCell ref="B8:B9"/>
    <mergeCell ref="B33:I33"/>
    <mergeCell ref="A10:A16"/>
    <mergeCell ref="B11:B16"/>
    <mergeCell ref="A17:A25"/>
    <mergeCell ref="B17:B25"/>
    <mergeCell ref="A26:A29"/>
    <mergeCell ref="B27:B29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pane ySplit="1" topLeftCell="A14" activePane="bottomLeft" state="frozen"/>
      <selection pane="bottomLeft" activeCell="G24" sqref="G24"/>
    </sheetView>
  </sheetViews>
  <sheetFormatPr defaultRowHeight="15" x14ac:dyDescent="0.25"/>
  <cols>
    <col min="1" max="1" width="17.85546875" bestFit="1" customWidth="1"/>
    <col min="2" max="2" width="14.7109375" customWidth="1"/>
    <col min="3" max="3" width="18.5703125" bestFit="1" customWidth="1"/>
    <col min="4" max="4" width="12.140625" bestFit="1" customWidth="1"/>
    <col min="5" max="5" width="13.42578125" bestFit="1" customWidth="1"/>
    <col min="6" max="7" width="13.42578125" customWidth="1"/>
    <col min="8" max="8" width="16.5703125" bestFit="1" customWidth="1"/>
    <col min="9" max="9" width="13.42578125" bestFit="1" customWidth="1"/>
    <col min="10" max="10" width="16.28515625" customWidth="1"/>
    <col min="11" max="11" width="17.42578125" customWidth="1"/>
    <col min="12" max="12" width="14.5703125" customWidth="1"/>
    <col min="13" max="13" width="14.140625" bestFit="1" customWidth="1"/>
    <col min="14" max="14" width="16" bestFit="1" customWidth="1"/>
    <col min="15" max="15" width="21.7109375" bestFit="1" customWidth="1"/>
    <col min="16" max="16" width="26.28515625" bestFit="1" customWidth="1"/>
    <col min="17" max="17" width="12.5703125" bestFit="1" customWidth="1"/>
    <col min="18" max="18" width="12.5703125" customWidth="1"/>
    <col min="19" max="19" width="19.42578125" bestFit="1" customWidth="1"/>
    <col min="20" max="22" width="12.85546875" customWidth="1"/>
    <col min="25" max="25" width="11.5703125" bestFit="1" customWidth="1"/>
    <col min="26" max="26" width="9.85546875" customWidth="1"/>
    <col min="27" max="27" width="11.5703125" bestFit="1" customWidth="1"/>
    <col min="28" max="28" width="11.5703125" style="94" bestFit="1" customWidth="1"/>
  </cols>
  <sheetData>
    <row r="1" spans="1:28" s="1" customFormat="1" ht="63" customHeight="1" x14ac:dyDescent="0.25">
      <c r="A1" s="126" t="s">
        <v>143</v>
      </c>
      <c r="B1" s="122" t="s">
        <v>144</v>
      </c>
      <c r="C1" s="124" t="s">
        <v>197</v>
      </c>
      <c r="D1" s="124" t="s">
        <v>198</v>
      </c>
      <c r="E1" s="124" t="s">
        <v>145</v>
      </c>
      <c r="F1" s="138" t="s">
        <v>196</v>
      </c>
      <c r="G1" s="138" t="s">
        <v>194</v>
      </c>
      <c r="H1" s="123" t="s">
        <v>199</v>
      </c>
      <c r="I1" s="123" t="s">
        <v>200</v>
      </c>
      <c r="J1" s="123" t="s">
        <v>201</v>
      </c>
      <c r="K1" s="137" t="s">
        <v>202</v>
      </c>
      <c r="L1" s="137" t="s">
        <v>195</v>
      </c>
      <c r="M1" s="51" t="s">
        <v>152</v>
      </c>
      <c r="N1" s="51" t="s">
        <v>155</v>
      </c>
      <c r="O1" s="51" t="s">
        <v>176</v>
      </c>
      <c r="P1" s="51" t="s">
        <v>157</v>
      </c>
      <c r="Q1" s="51" t="s">
        <v>151</v>
      </c>
      <c r="R1" s="51" t="s">
        <v>210</v>
      </c>
      <c r="S1" s="49" t="s">
        <v>161</v>
      </c>
      <c r="T1" s="49" t="s">
        <v>162</v>
      </c>
      <c r="U1" s="49" t="s">
        <v>159</v>
      </c>
      <c r="V1" s="49" t="s">
        <v>180</v>
      </c>
      <c r="W1" s="49" t="s">
        <v>163</v>
      </c>
      <c r="X1" s="49" t="s">
        <v>160</v>
      </c>
      <c r="Y1" s="127" t="s">
        <v>181</v>
      </c>
      <c r="Z1" s="128" t="s">
        <v>175</v>
      </c>
      <c r="AA1" s="129" t="s">
        <v>174</v>
      </c>
      <c r="AB1" s="130" t="s">
        <v>177</v>
      </c>
    </row>
    <row r="2" spans="1:28" s="1" customFormat="1" ht="30.75" customHeight="1" x14ac:dyDescent="0.25">
      <c r="A2" s="82" t="s">
        <v>35</v>
      </c>
      <c r="B2" s="82">
        <v>2</v>
      </c>
      <c r="C2" s="83">
        <f>'5. All Tree Composition'!F11</f>
        <v>5</v>
      </c>
      <c r="D2" s="83">
        <f>'5. All Tree Composition'!H10+'5. All Tree Composition'!H11</f>
        <v>636.61828367710723</v>
      </c>
      <c r="E2" s="83">
        <f>C2+D2</f>
        <v>641.61828367710723</v>
      </c>
      <c r="F2" s="90">
        <f>E2/22</f>
        <v>29.16446743986851</v>
      </c>
      <c r="G2" s="83">
        <f>E2/$E$19*100</f>
        <v>24.054805166040389</v>
      </c>
      <c r="H2" s="84">
        <f>'5. All Tree Composition'!K11</f>
        <v>0.45396120000000006</v>
      </c>
      <c r="I2" s="84">
        <f>'5. All Tree Composition'!M10+'5. All Tree Composition'!M11</f>
        <v>13.317499999999997</v>
      </c>
      <c r="J2" s="84">
        <f>H2+I2</f>
        <v>13.771461199999997</v>
      </c>
      <c r="K2" s="84">
        <f>J2/22</f>
        <v>0.62597550909090893</v>
      </c>
      <c r="L2" s="84">
        <f>J2/$J$19*100</f>
        <v>5.4275798203078622</v>
      </c>
      <c r="M2" s="85">
        <f>B2/$B$19</f>
        <v>0.22222222222222221</v>
      </c>
      <c r="N2" s="85">
        <f>M2/$M$19*100</f>
        <v>7.4074074074074039</v>
      </c>
      <c r="O2" s="85">
        <f>E2/$E$19*100</f>
        <v>24.054805166040389</v>
      </c>
      <c r="P2" s="85">
        <f>J2/$J$19*100</f>
        <v>5.4275798203078622</v>
      </c>
      <c r="Q2" s="85">
        <f>N2+O2+P2</f>
        <v>36.889792393755656</v>
      </c>
      <c r="R2" s="174">
        <f>Q2/$Q$19*100</f>
        <v>12.29659746458522</v>
      </c>
      <c r="S2" s="92">
        <f>E2/$E$19</f>
        <v>0.24054805166040388</v>
      </c>
      <c r="T2" s="93">
        <f>S2*LN(S2)</f>
        <v>-0.34274138190600051</v>
      </c>
      <c r="U2" s="209">
        <f>-SUM(T2:T18)</f>
        <v>1.7353815888489452</v>
      </c>
      <c r="V2" s="209">
        <f>LN(17)</f>
        <v>2.8332133440562162</v>
      </c>
      <c r="W2" s="93">
        <f>S2*S2</f>
        <v>5.7863365157616337E-2</v>
      </c>
      <c r="X2" s="209">
        <f>SUM(W2:W18)</f>
        <v>0.23828543173873659</v>
      </c>
      <c r="Y2" s="210">
        <f>17/SQRT(E19)</f>
        <v>0.32916335301573874</v>
      </c>
      <c r="Z2" s="211">
        <f>E19/22</f>
        <v>121.24175289950691</v>
      </c>
      <c r="AA2" s="212">
        <f>(17-1)/LN(E19)</f>
        <v>2.0281844205204207</v>
      </c>
      <c r="AB2" s="208">
        <f>U2/LN(17)</f>
        <v>0.61251355902639437</v>
      </c>
    </row>
    <row r="3" spans="1:28" s="1" customFormat="1" ht="30.75" customHeight="1" x14ac:dyDescent="0.25">
      <c r="A3" s="82" t="s">
        <v>93</v>
      </c>
      <c r="B3" s="82">
        <v>1</v>
      </c>
      <c r="C3" s="83">
        <f>'5. All Tree Composition'!F28</f>
        <v>5</v>
      </c>
      <c r="D3" s="86">
        <v>0</v>
      </c>
      <c r="E3" s="83">
        <f t="shared" ref="E3:E18" si="0">C3+D3</f>
        <v>5</v>
      </c>
      <c r="F3" s="90">
        <f t="shared" ref="F3:F18" si="1">E3/22</f>
        <v>0.22727272727272727</v>
      </c>
      <c r="G3" s="83">
        <f t="shared" ref="G3:G18" si="2">E3/$E$19*100</f>
        <v>0.1874541746860966</v>
      </c>
      <c r="H3" s="84">
        <f>'5. All Tree Composition'!K28</f>
        <v>10.053120000000003</v>
      </c>
      <c r="I3" s="87">
        <v>0</v>
      </c>
      <c r="J3" s="84">
        <f t="shared" ref="J3:J18" si="3">H3+I3</f>
        <v>10.053120000000003</v>
      </c>
      <c r="K3" s="84">
        <f t="shared" ref="K3:K18" si="4">J3/22</f>
        <v>0.45696000000000014</v>
      </c>
      <c r="L3" s="84">
        <f t="shared" ref="L3:L18" si="5">J3/$J$19*100</f>
        <v>3.9621148729761089</v>
      </c>
      <c r="M3" s="85">
        <f t="shared" ref="M3:M18" si="6">B3/$B$19</f>
        <v>0.1111111111111111</v>
      </c>
      <c r="N3" s="85">
        <f t="shared" ref="N3:N18" si="7">M3/$M$19*100</f>
        <v>3.7037037037037019</v>
      </c>
      <c r="O3" s="85">
        <f t="shared" ref="O3:O18" si="8">E3/$E$19*100</f>
        <v>0.1874541746860966</v>
      </c>
      <c r="P3" s="85">
        <f t="shared" ref="P3:P18" si="9">J3/$J$19*100</f>
        <v>3.9621148729761089</v>
      </c>
      <c r="Q3" s="85">
        <f t="shared" ref="Q3:Q18" si="10">N3+O3+P3</f>
        <v>7.8532727513659069</v>
      </c>
      <c r="R3" s="85">
        <f t="shared" ref="R3:R18" si="11">Q3/$Q$19*100</f>
        <v>2.6177575837886362</v>
      </c>
      <c r="S3" s="92">
        <f t="shared" ref="S3:S18" si="12">E3/$E$19</f>
        <v>1.8745417468609661E-3</v>
      </c>
      <c r="T3" s="93">
        <f t="shared" ref="T3:T18" si="13">S3*LN(S3)</f>
        <v>-1.1770980670161243E-2</v>
      </c>
      <c r="U3" s="209"/>
      <c r="V3" s="209"/>
      <c r="W3" s="93">
        <f t="shared" ref="W3:W18" si="14">S3*S3</f>
        <v>3.513906760724562E-6</v>
      </c>
      <c r="X3" s="209"/>
      <c r="Y3" s="210"/>
      <c r="Z3" s="211"/>
      <c r="AA3" s="212"/>
      <c r="AB3" s="208"/>
    </row>
    <row r="4" spans="1:28" s="1" customFormat="1" x14ac:dyDescent="0.25">
      <c r="A4" s="82" t="s">
        <v>41</v>
      </c>
      <c r="B4" s="82">
        <v>1</v>
      </c>
      <c r="C4" s="83">
        <f>'5. All Tree Composition'!F22</f>
        <v>5</v>
      </c>
      <c r="D4" s="86">
        <v>0</v>
      </c>
      <c r="E4" s="83">
        <f t="shared" si="0"/>
        <v>5</v>
      </c>
      <c r="F4" s="90">
        <f t="shared" si="1"/>
        <v>0.22727272727272727</v>
      </c>
      <c r="G4" s="83">
        <f t="shared" si="2"/>
        <v>0.1874541746860966</v>
      </c>
      <c r="H4" s="84">
        <f>'5. All Tree Composition'!K22</f>
        <v>0.4021248</v>
      </c>
      <c r="I4" s="87">
        <v>0</v>
      </c>
      <c r="J4" s="84">
        <f t="shared" si="3"/>
        <v>0.4021248</v>
      </c>
      <c r="K4" s="84">
        <f t="shared" si="4"/>
        <v>1.82784E-2</v>
      </c>
      <c r="L4" s="84">
        <f t="shared" si="5"/>
        <v>0.15848459491904429</v>
      </c>
      <c r="M4" s="85">
        <f t="shared" si="6"/>
        <v>0.1111111111111111</v>
      </c>
      <c r="N4" s="85">
        <f t="shared" si="7"/>
        <v>3.7037037037037019</v>
      </c>
      <c r="O4" s="85">
        <f t="shared" si="8"/>
        <v>0.1874541746860966</v>
      </c>
      <c r="P4" s="85">
        <f t="shared" si="9"/>
        <v>0.15848459491904429</v>
      </c>
      <c r="Q4" s="85">
        <f t="shared" si="10"/>
        <v>4.0496424733088423</v>
      </c>
      <c r="R4" s="85">
        <f t="shared" si="11"/>
        <v>1.349880824436281</v>
      </c>
      <c r="S4" s="92">
        <f t="shared" si="12"/>
        <v>1.8745417468609661E-3</v>
      </c>
      <c r="T4" s="93">
        <f t="shared" si="13"/>
        <v>-1.1770980670161243E-2</v>
      </c>
      <c r="U4" s="209"/>
      <c r="V4" s="209"/>
      <c r="W4" s="93">
        <f t="shared" si="14"/>
        <v>3.513906760724562E-6</v>
      </c>
      <c r="X4" s="209"/>
      <c r="Y4" s="210"/>
      <c r="Z4" s="211"/>
      <c r="AA4" s="212"/>
      <c r="AB4" s="208"/>
    </row>
    <row r="5" spans="1:28" s="1" customFormat="1" x14ac:dyDescent="0.25">
      <c r="A5" s="82" t="s">
        <v>95</v>
      </c>
      <c r="B5" s="82">
        <v>1</v>
      </c>
      <c r="C5" s="83">
        <f>'5. All Tree Composition'!F29</f>
        <v>5</v>
      </c>
      <c r="D5" s="86">
        <v>0</v>
      </c>
      <c r="E5" s="83">
        <f t="shared" si="0"/>
        <v>5</v>
      </c>
      <c r="F5" s="90">
        <f t="shared" si="1"/>
        <v>0.22727272727272727</v>
      </c>
      <c r="G5" s="83">
        <f t="shared" si="2"/>
        <v>0.1874541746860966</v>
      </c>
      <c r="H5" s="84">
        <f>'5. All Tree Composition'!K29</f>
        <v>7.9184028</v>
      </c>
      <c r="I5" s="87">
        <v>0</v>
      </c>
      <c r="J5" s="84">
        <f t="shared" si="3"/>
        <v>7.9184028</v>
      </c>
      <c r="K5" s="84">
        <f t="shared" si="4"/>
        <v>0.35992740000000001</v>
      </c>
      <c r="L5" s="84">
        <f t="shared" si="5"/>
        <v>3.1207845429175864</v>
      </c>
      <c r="M5" s="85">
        <f t="shared" si="6"/>
        <v>0.1111111111111111</v>
      </c>
      <c r="N5" s="85">
        <f t="shared" si="7"/>
        <v>3.7037037037037019</v>
      </c>
      <c r="O5" s="85">
        <f t="shared" si="8"/>
        <v>0.1874541746860966</v>
      </c>
      <c r="P5" s="85">
        <f t="shared" si="9"/>
        <v>3.1207845429175864</v>
      </c>
      <c r="Q5" s="85">
        <f t="shared" si="10"/>
        <v>7.0119424213073849</v>
      </c>
      <c r="R5" s="85">
        <f t="shared" si="11"/>
        <v>2.3373141404357956</v>
      </c>
      <c r="S5" s="92">
        <f t="shared" si="12"/>
        <v>1.8745417468609661E-3</v>
      </c>
      <c r="T5" s="93">
        <f t="shared" si="13"/>
        <v>-1.1770980670161243E-2</v>
      </c>
      <c r="U5" s="209"/>
      <c r="V5" s="209"/>
      <c r="W5" s="93">
        <f t="shared" si="14"/>
        <v>3.513906760724562E-6</v>
      </c>
      <c r="X5" s="209"/>
      <c r="Y5" s="210"/>
      <c r="Z5" s="211"/>
      <c r="AA5" s="212"/>
      <c r="AB5" s="208"/>
    </row>
    <row r="6" spans="1:28" s="1" customFormat="1" ht="30" x14ac:dyDescent="0.25">
      <c r="A6" s="82" t="s">
        <v>22</v>
      </c>
      <c r="B6" s="82">
        <v>1</v>
      </c>
      <c r="C6" s="88">
        <v>0</v>
      </c>
      <c r="D6" s="83">
        <f>'5. All Tree Composition'!H15</f>
        <v>31.830914183855359</v>
      </c>
      <c r="E6" s="83">
        <f t="shared" si="0"/>
        <v>31.830914183855359</v>
      </c>
      <c r="F6" s="90">
        <f t="shared" si="1"/>
        <v>1.446859735629789</v>
      </c>
      <c r="G6" s="83">
        <f t="shared" si="2"/>
        <v>1.1933675495677145</v>
      </c>
      <c r="H6" s="89">
        <v>0</v>
      </c>
      <c r="I6" s="84">
        <f>'5. All Tree Composition'!M15</f>
        <v>0.42250000000000004</v>
      </c>
      <c r="J6" s="84">
        <f t="shared" si="3"/>
        <v>0.42250000000000004</v>
      </c>
      <c r="K6" s="84">
        <f t="shared" si="4"/>
        <v>1.9204545454545457E-2</v>
      </c>
      <c r="L6" s="84">
        <f t="shared" si="5"/>
        <v>0.16651482662421274</v>
      </c>
      <c r="M6" s="85">
        <f t="shared" si="6"/>
        <v>0.1111111111111111</v>
      </c>
      <c r="N6" s="85">
        <f t="shared" si="7"/>
        <v>3.7037037037037019</v>
      </c>
      <c r="O6" s="85">
        <f t="shared" si="8"/>
        <v>1.1933675495677145</v>
      </c>
      <c r="P6" s="85">
        <f t="shared" si="9"/>
        <v>0.16651482662421274</v>
      </c>
      <c r="Q6" s="85">
        <f t="shared" si="10"/>
        <v>5.0635860798956296</v>
      </c>
      <c r="R6" s="85">
        <f t="shared" si="11"/>
        <v>1.6878620266318769</v>
      </c>
      <c r="S6" s="92">
        <f t="shared" si="12"/>
        <v>1.1933675495677145E-2</v>
      </c>
      <c r="T6" s="93">
        <f t="shared" si="13"/>
        <v>-5.2846981183846176E-2</v>
      </c>
      <c r="U6" s="209"/>
      <c r="V6" s="209"/>
      <c r="W6" s="93">
        <f t="shared" si="14"/>
        <v>1.4241261083612513E-4</v>
      </c>
      <c r="X6" s="209"/>
      <c r="Y6" s="210"/>
      <c r="Z6" s="211"/>
      <c r="AA6" s="212"/>
      <c r="AB6" s="208"/>
    </row>
    <row r="7" spans="1:28" s="1" customFormat="1" x14ac:dyDescent="0.25">
      <c r="A7" s="82" t="s">
        <v>17</v>
      </c>
      <c r="B7" s="82">
        <v>1</v>
      </c>
      <c r="C7" s="83">
        <f>'5. All Tree Composition'!F8</f>
        <v>5</v>
      </c>
      <c r="D7" s="83">
        <f>'5. All Tree Composition'!H8</f>
        <v>63.661828367710719</v>
      </c>
      <c r="E7" s="83">
        <f t="shared" si="0"/>
        <v>68.661828367710712</v>
      </c>
      <c r="F7" s="90">
        <f t="shared" si="1"/>
        <v>3.120992198532305</v>
      </c>
      <c r="G7" s="83">
        <f t="shared" si="2"/>
        <v>2.5741892738215255</v>
      </c>
      <c r="H7" s="84">
        <f>'5. All Tree Composition'!K8</f>
        <v>0.37738470000000002</v>
      </c>
      <c r="I7" s="84">
        <f>'5. All Tree Composition'!M8</f>
        <v>3.2525000000000004</v>
      </c>
      <c r="J7" s="84">
        <f t="shared" si="3"/>
        <v>3.6298847000000003</v>
      </c>
      <c r="K7" s="84">
        <f t="shared" si="4"/>
        <v>0.1649947590909091</v>
      </c>
      <c r="L7" s="84">
        <f t="shared" si="5"/>
        <v>1.4306026544056387</v>
      </c>
      <c r="M7" s="85">
        <f t="shared" si="6"/>
        <v>0.1111111111111111</v>
      </c>
      <c r="N7" s="85">
        <f t="shared" si="7"/>
        <v>3.7037037037037019</v>
      </c>
      <c r="O7" s="85">
        <f t="shared" si="8"/>
        <v>2.5741892738215255</v>
      </c>
      <c r="P7" s="85">
        <f t="shared" si="9"/>
        <v>1.4306026544056387</v>
      </c>
      <c r="Q7" s="85">
        <f t="shared" si="10"/>
        <v>7.708495631930866</v>
      </c>
      <c r="R7" s="85">
        <f t="shared" si="11"/>
        <v>2.5694985439769558</v>
      </c>
      <c r="S7" s="92">
        <f t="shared" si="12"/>
        <v>2.5741892738215255E-2</v>
      </c>
      <c r="T7" s="93">
        <f t="shared" si="13"/>
        <v>-9.4205945700619922E-2</v>
      </c>
      <c r="U7" s="209"/>
      <c r="V7" s="209"/>
      <c r="W7" s="93">
        <f t="shared" si="14"/>
        <v>6.6264504174577926E-4</v>
      </c>
      <c r="X7" s="209"/>
      <c r="Y7" s="210"/>
      <c r="Z7" s="211"/>
      <c r="AA7" s="212"/>
      <c r="AB7" s="208"/>
    </row>
    <row r="8" spans="1:28" s="1" customFormat="1" ht="30" x14ac:dyDescent="0.25">
      <c r="A8" s="82" t="s">
        <v>80</v>
      </c>
      <c r="B8" s="82">
        <v>1</v>
      </c>
      <c r="C8" s="83">
        <f>'5. All Tree Composition'!F19</f>
        <v>10</v>
      </c>
      <c r="D8" s="86">
        <v>0</v>
      </c>
      <c r="E8" s="83">
        <f t="shared" si="0"/>
        <v>10</v>
      </c>
      <c r="F8" s="90">
        <f t="shared" si="1"/>
        <v>0.45454545454545453</v>
      </c>
      <c r="G8" s="83">
        <f t="shared" si="2"/>
        <v>0.37490834937219319</v>
      </c>
      <c r="H8" s="84">
        <f>'5. All Tree Composition'!K19</f>
        <v>1.146684</v>
      </c>
      <c r="I8" s="87">
        <v>0</v>
      </c>
      <c r="J8" s="84">
        <f t="shared" si="3"/>
        <v>1.146684</v>
      </c>
      <c r="K8" s="84">
        <f t="shared" si="4"/>
        <v>5.2122000000000002E-2</v>
      </c>
      <c r="L8" s="84">
        <f t="shared" si="5"/>
        <v>0.45192872769883724</v>
      </c>
      <c r="M8" s="85">
        <f t="shared" si="6"/>
        <v>0.1111111111111111</v>
      </c>
      <c r="N8" s="85">
        <f t="shared" si="7"/>
        <v>3.7037037037037019</v>
      </c>
      <c r="O8" s="85">
        <f t="shared" si="8"/>
        <v>0.37490834937219319</v>
      </c>
      <c r="P8" s="85">
        <f t="shared" si="9"/>
        <v>0.45192872769883724</v>
      </c>
      <c r="Q8" s="85">
        <f t="shared" si="10"/>
        <v>4.5305407807747322</v>
      </c>
      <c r="R8" s="85">
        <f t="shared" si="11"/>
        <v>1.5101802602582444</v>
      </c>
      <c r="S8" s="92">
        <f t="shared" si="12"/>
        <v>3.7490834937219321E-3</v>
      </c>
      <c r="T8" s="93">
        <f t="shared" si="13"/>
        <v>-2.0943294686965298E-2</v>
      </c>
      <c r="U8" s="209"/>
      <c r="V8" s="209"/>
      <c r="W8" s="93">
        <f t="shared" si="14"/>
        <v>1.4055627042898248E-5</v>
      </c>
      <c r="X8" s="209"/>
      <c r="Y8" s="210"/>
      <c r="Z8" s="211"/>
      <c r="AA8" s="212"/>
      <c r="AB8" s="208"/>
    </row>
    <row r="9" spans="1:28" s="1" customFormat="1" ht="30" x14ac:dyDescent="0.25">
      <c r="A9" s="82" t="s">
        <v>8</v>
      </c>
      <c r="B9" s="82">
        <v>7</v>
      </c>
      <c r="C9" s="90">
        <f>'5. All Tree Composition'!F3+'5. All Tree Composition'!F5+'5. All Tree Composition'!F7+'5. All Tree Composition'!F26+'5. All Tree Composition'!F27</f>
        <v>210</v>
      </c>
      <c r="D9" s="83">
        <f>'5. All Tree Composition'!H3+'5. All Tree Composition'!H5+'5. All Tree Composition'!H9+'5. All Tree Composition'!H14</f>
        <v>795.77285459638392</v>
      </c>
      <c r="E9" s="83">
        <f t="shared" si="0"/>
        <v>1005.7728545963839</v>
      </c>
      <c r="F9" s="90">
        <f t="shared" si="1"/>
        <v>45.716947936199269</v>
      </c>
      <c r="G9" s="83">
        <f t="shared" si="2"/>
        <v>37.707264076008919</v>
      </c>
      <c r="H9" s="91">
        <f>'5. All Tree Composition'!K3+'5. All Tree Composition'!K5+'5. All Tree Composition'!K7+'5. All Tree Composition'!K26+'5. All Tree Composition'!K27</f>
        <v>153.33403470000002</v>
      </c>
      <c r="I9" s="84">
        <f>'5. All Tree Composition'!M3+'5. All Tree Composition'!M5+'5. All Tree Composition'!M9+'5. All Tree Composition'!M14</f>
        <v>29.837499999999995</v>
      </c>
      <c r="J9" s="84">
        <f t="shared" si="3"/>
        <v>183.17153470000002</v>
      </c>
      <c r="K9" s="84">
        <f t="shared" si="4"/>
        <v>8.3259788500000003</v>
      </c>
      <c r="L9" s="84">
        <f t="shared" si="5"/>
        <v>72.191186610796365</v>
      </c>
      <c r="M9" s="85">
        <f t="shared" si="6"/>
        <v>0.77777777777777779</v>
      </c>
      <c r="N9" s="85">
        <f t="shared" si="7"/>
        <v>25.92592592592592</v>
      </c>
      <c r="O9" s="85">
        <f t="shared" si="8"/>
        <v>37.707264076008919</v>
      </c>
      <c r="P9" s="85">
        <f t="shared" si="9"/>
        <v>72.191186610796365</v>
      </c>
      <c r="Q9" s="85">
        <f t="shared" si="10"/>
        <v>135.82437661273121</v>
      </c>
      <c r="R9" s="174">
        <f t="shared" si="11"/>
        <v>45.274792204243745</v>
      </c>
      <c r="S9" s="92">
        <f t="shared" si="12"/>
        <v>0.37707264076008917</v>
      </c>
      <c r="T9" s="93">
        <f t="shared" si="13"/>
        <v>-0.36776551854500017</v>
      </c>
      <c r="U9" s="209"/>
      <c r="V9" s="209"/>
      <c r="W9" s="93">
        <f t="shared" si="14"/>
        <v>0.14218377640978727</v>
      </c>
      <c r="X9" s="209"/>
      <c r="Y9" s="210"/>
      <c r="Z9" s="211"/>
      <c r="AA9" s="212"/>
      <c r="AB9" s="208"/>
    </row>
    <row r="10" spans="1:28" s="1" customFormat="1" x14ac:dyDescent="0.25">
      <c r="A10" s="82" t="s">
        <v>78</v>
      </c>
      <c r="B10" s="82">
        <v>1</v>
      </c>
      <c r="C10" s="83">
        <f>'5. All Tree Composition'!F18</f>
        <v>5</v>
      </c>
      <c r="D10" s="86">
        <v>0</v>
      </c>
      <c r="E10" s="83">
        <f t="shared" si="0"/>
        <v>5</v>
      </c>
      <c r="F10" s="90">
        <f t="shared" si="1"/>
        <v>0.22727272727272727</v>
      </c>
      <c r="G10" s="83">
        <f t="shared" si="2"/>
        <v>0.1874541746860966</v>
      </c>
      <c r="H10" s="84">
        <f>'5. All Tree Composition'!K18</f>
        <v>0.69272279999999986</v>
      </c>
      <c r="I10" s="87">
        <v>0</v>
      </c>
      <c r="J10" s="84">
        <f t="shared" si="3"/>
        <v>0.69272279999999986</v>
      </c>
      <c r="K10" s="84">
        <f t="shared" si="4"/>
        <v>3.1487399999999992E-2</v>
      </c>
      <c r="L10" s="84">
        <f t="shared" si="5"/>
        <v>0.27301447796600981</v>
      </c>
      <c r="M10" s="85">
        <f t="shared" si="6"/>
        <v>0.1111111111111111</v>
      </c>
      <c r="N10" s="85">
        <f t="shared" si="7"/>
        <v>3.7037037037037019</v>
      </c>
      <c r="O10" s="85">
        <f t="shared" si="8"/>
        <v>0.1874541746860966</v>
      </c>
      <c r="P10" s="85">
        <f t="shared" si="9"/>
        <v>0.27301447796600981</v>
      </c>
      <c r="Q10" s="85">
        <f t="shared" si="10"/>
        <v>4.1641723563558086</v>
      </c>
      <c r="R10" s="85">
        <f t="shared" si="11"/>
        <v>1.3880574521186031</v>
      </c>
      <c r="S10" s="92">
        <f t="shared" si="12"/>
        <v>1.8745417468609661E-3</v>
      </c>
      <c r="T10" s="93">
        <f t="shared" si="13"/>
        <v>-1.1770980670161243E-2</v>
      </c>
      <c r="U10" s="209"/>
      <c r="V10" s="209"/>
      <c r="W10" s="93">
        <f t="shared" si="14"/>
        <v>3.513906760724562E-6</v>
      </c>
      <c r="X10" s="209"/>
      <c r="Y10" s="210"/>
      <c r="Z10" s="211"/>
      <c r="AA10" s="212"/>
      <c r="AB10" s="208"/>
    </row>
    <row r="11" spans="1:28" s="1" customFormat="1" x14ac:dyDescent="0.25">
      <c r="A11" s="82" t="s">
        <v>58</v>
      </c>
      <c r="B11" s="82">
        <v>1</v>
      </c>
      <c r="C11" s="83">
        <f>'5. All Tree Composition'!F20</f>
        <v>5</v>
      </c>
      <c r="D11" s="86">
        <v>0</v>
      </c>
      <c r="E11" s="83">
        <f t="shared" si="0"/>
        <v>5</v>
      </c>
      <c r="F11" s="90">
        <f t="shared" si="1"/>
        <v>0.22727272727272727</v>
      </c>
      <c r="G11" s="83">
        <f t="shared" si="2"/>
        <v>0.1874541746860966</v>
      </c>
      <c r="H11" s="84">
        <f>'5. All Tree Composition'!K20</f>
        <v>0.4021248</v>
      </c>
      <c r="I11" s="87">
        <v>0</v>
      </c>
      <c r="J11" s="84">
        <f t="shared" si="3"/>
        <v>0.4021248</v>
      </c>
      <c r="K11" s="84">
        <f t="shared" si="4"/>
        <v>1.82784E-2</v>
      </c>
      <c r="L11" s="84">
        <f t="shared" si="5"/>
        <v>0.15848459491904429</v>
      </c>
      <c r="M11" s="85">
        <f t="shared" si="6"/>
        <v>0.1111111111111111</v>
      </c>
      <c r="N11" s="85">
        <f t="shared" si="7"/>
        <v>3.7037037037037019</v>
      </c>
      <c r="O11" s="85">
        <f t="shared" si="8"/>
        <v>0.1874541746860966</v>
      </c>
      <c r="P11" s="85">
        <f t="shared" si="9"/>
        <v>0.15848459491904429</v>
      </c>
      <c r="Q11" s="85">
        <f t="shared" si="10"/>
        <v>4.0496424733088423</v>
      </c>
      <c r="R11" s="85">
        <f t="shared" si="11"/>
        <v>1.349880824436281</v>
      </c>
      <c r="S11" s="92">
        <f t="shared" si="12"/>
        <v>1.8745417468609661E-3</v>
      </c>
      <c r="T11" s="93">
        <f t="shared" si="13"/>
        <v>-1.1770980670161243E-2</v>
      </c>
      <c r="U11" s="209"/>
      <c r="V11" s="209"/>
      <c r="W11" s="93">
        <f t="shared" si="14"/>
        <v>3.513906760724562E-6</v>
      </c>
      <c r="X11" s="209"/>
      <c r="Y11" s="210"/>
      <c r="Z11" s="211"/>
      <c r="AA11" s="212"/>
      <c r="AB11" s="208"/>
    </row>
    <row r="12" spans="1:28" s="1" customFormat="1" x14ac:dyDescent="0.25">
      <c r="A12" s="82" t="s">
        <v>83</v>
      </c>
      <c r="B12" s="82">
        <v>1</v>
      </c>
      <c r="C12" s="86">
        <v>0</v>
      </c>
      <c r="D12" s="83">
        <f>'5. All Tree Composition'!H25</f>
        <v>63.661828367710719</v>
      </c>
      <c r="E12" s="83">
        <f t="shared" si="0"/>
        <v>63.661828367710719</v>
      </c>
      <c r="F12" s="90">
        <f t="shared" si="1"/>
        <v>2.893719471259578</v>
      </c>
      <c r="G12" s="83">
        <f t="shared" si="2"/>
        <v>2.386735099135429</v>
      </c>
      <c r="H12" s="87">
        <v>0</v>
      </c>
      <c r="I12" s="84">
        <f>'5. All Tree Composition'!M25</f>
        <v>2.2250000000000001</v>
      </c>
      <c r="J12" s="84">
        <f t="shared" si="3"/>
        <v>2.2250000000000001</v>
      </c>
      <c r="K12" s="84">
        <f t="shared" si="4"/>
        <v>0.10113636363636364</v>
      </c>
      <c r="L12" s="84">
        <f t="shared" si="5"/>
        <v>0.87691240056538056</v>
      </c>
      <c r="M12" s="85">
        <f t="shared" si="6"/>
        <v>0.1111111111111111</v>
      </c>
      <c r="N12" s="85">
        <f t="shared" si="7"/>
        <v>3.7037037037037019</v>
      </c>
      <c r="O12" s="85">
        <f t="shared" si="8"/>
        <v>2.386735099135429</v>
      </c>
      <c r="P12" s="85">
        <f t="shared" si="9"/>
        <v>0.87691240056538056</v>
      </c>
      <c r="Q12" s="85">
        <f t="shared" si="10"/>
        <v>6.9673512034045118</v>
      </c>
      <c r="R12" s="85">
        <f t="shared" si="11"/>
        <v>2.3224504011348377</v>
      </c>
      <c r="S12" s="92">
        <f t="shared" si="12"/>
        <v>2.3867350991354289E-2</v>
      </c>
      <c r="T12" s="93">
        <f t="shared" si="13"/>
        <v>-8.9150375320600508E-2</v>
      </c>
      <c r="U12" s="209"/>
      <c r="V12" s="209"/>
      <c r="W12" s="93">
        <f t="shared" si="14"/>
        <v>5.6965044334450054E-4</v>
      </c>
      <c r="X12" s="209"/>
      <c r="Y12" s="210"/>
      <c r="Z12" s="211"/>
      <c r="AA12" s="212"/>
      <c r="AB12" s="208"/>
    </row>
    <row r="13" spans="1:28" s="1" customFormat="1" x14ac:dyDescent="0.25">
      <c r="A13" s="82" t="s">
        <v>171</v>
      </c>
      <c r="B13" s="82">
        <v>1</v>
      </c>
      <c r="C13" s="83">
        <v>0</v>
      </c>
      <c r="D13" s="83">
        <f>'5. All Tree Composition'!H13</f>
        <v>63.661828367710719</v>
      </c>
      <c r="E13" s="83">
        <f t="shared" si="0"/>
        <v>63.661828367710719</v>
      </c>
      <c r="F13" s="90">
        <f t="shared" si="1"/>
        <v>2.893719471259578</v>
      </c>
      <c r="G13" s="83">
        <f t="shared" si="2"/>
        <v>2.386735099135429</v>
      </c>
      <c r="H13" s="84">
        <v>0</v>
      </c>
      <c r="I13" s="84">
        <f>'5. All Tree Composition'!M13</f>
        <v>1.6249999999999998</v>
      </c>
      <c r="J13" s="84">
        <f t="shared" si="3"/>
        <v>1.6249999999999998</v>
      </c>
      <c r="K13" s="84">
        <f t="shared" si="4"/>
        <v>7.3863636363636354E-2</v>
      </c>
      <c r="L13" s="84">
        <f t="shared" si="5"/>
        <v>0.64044164086235655</v>
      </c>
      <c r="M13" s="85">
        <f t="shared" si="6"/>
        <v>0.1111111111111111</v>
      </c>
      <c r="N13" s="85">
        <f t="shared" si="7"/>
        <v>3.7037037037037019</v>
      </c>
      <c r="O13" s="85">
        <f t="shared" si="8"/>
        <v>2.386735099135429</v>
      </c>
      <c r="P13" s="85">
        <f t="shared" si="9"/>
        <v>0.64044164086235655</v>
      </c>
      <c r="Q13" s="85">
        <f t="shared" si="10"/>
        <v>6.7308804437014871</v>
      </c>
      <c r="R13" s="85">
        <f t="shared" si="11"/>
        <v>2.2436268145671625</v>
      </c>
      <c r="S13" s="92">
        <f t="shared" si="12"/>
        <v>2.3867350991354289E-2</v>
      </c>
      <c r="T13" s="93">
        <f t="shared" si="13"/>
        <v>-8.9150375320600508E-2</v>
      </c>
      <c r="U13" s="209"/>
      <c r="V13" s="209"/>
      <c r="W13" s="93">
        <f t="shared" si="14"/>
        <v>5.6965044334450054E-4</v>
      </c>
      <c r="X13" s="209"/>
      <c r="Y13" s="210"/>
      <c r="Z13" s="211"/>
      <c r="AA13" s="212"/>
      <c r="AB13" s="208"/>
    </row>
    <row r="14" spans="1:28" s="1" customFormat="1" ht="30" x14ac:dyDescent="0.25">
      <c r="A14" s="82" t="s">
        <v>45</v>
      </c>
      <c r="B14" s="82">
        <v>1</v>
      </c>
      <c r="C14" s="83">
        <f>'5. All Tree Composition'!F23</f>
        <v>10</v>
      </c>
      <c r="D14" s="83">
        <f>'5. All Tree Composition'!H23</f>
        <v>31.830914183855359</v>
      </c>
      <c r="E14" s="83">
        <f t="shared" si="0"/>
        <v>41.830914183855356</v>
      </c>
      <c r="F14" s="90">
        <f t="shared" si="1"/>
        <v>1.9014051901752433</v>
      </c>
      <c r="G14" s="83">
        <f t="shared" si="2"/>
        <v>1.5682758989399075</v>
      </c>
      <c r="H14" s="84">
        <f>'5. All Tree Composition'!K23</f>
        <v>1.4137200000000001</v>
      </c>
      <c r="I14" s="84">
        <f>'5. All Tree Composition'!M23</f>
        <v>1.6900000000000002</v>
      </c>
      <c r="J14" s="84">
        <f t="shared" si="3"/>
        <v>3.10372</v>
      </c>
      <c r="K14" s="84">
        <f t="shared" si="4"/>
        <v>0.14107818181818182</v>
      </c>
      <c r="L14" s="84">
        <f t="shared" si="5"/>
        <v>1.2232317105091159</v>
      </c>
      <c r="M14" s="85">
        <f t="shared" si="6"/>
        <v>0.1111111111111111</v>
      </c>
      <c r="N14" s="85">
        <f t="shared" si="7"/>
        <v>3.7037037037037019</v>
      </c>
      <c r="O14" s="85">
        <f t="shared" si="8"/>
        <v>1.5682758989399075</v>
      </c>
      <c r="P14" s="85">
        <f t="shared" si="9"/>
        <v>1.2232317105091159</v>
      </c>
      <c r="Q14" s="85">
        <f t="shared" si="10"/>
        <v>6.4952113131527254</v>
      </c>
      <c r="R14" s="85">
        <f t="shared" si="11"/>
        <v>2.1650704377175756</v>
      </c>
      <c r="S14" s="92">
        <f t="shared" si="12"/>
        <v>1.5682758989399075E-2</v>
      </c>
      <c r="T14" s="93">
        <f t="shared" si="13"/>
        <v>-6.516489544809248E-2</v>
      </c>
      <c r="U14" s="209"/>
      <c r="V14" s="209"/>
      <c r="W14" s="93">
        <f t="shared" si="14"/>
        <v>2.4594892951957748E-4</v>
      </c>
      <c r="X14" s="209"/>
      <c r="Y14" s="210"/>
      <c r="Z14" s="211"/>
      <c r="AA14" s="212"/>
      <c r="AB14" s="208"/>
    </row>
    <row r="15" spans="1:28" s="1" customFormat="1" x14ac:dyDescent="0.25">
      <c r="A15" s="82" t="s">
        <v>54</v>
      </c>
      <c r="B15" s="82">
        <v>1</v>
      </c>
      <c r="C15" s="83">
        <f>'5. All Tree Composition'!F17</f>
        <v>5</v>
      </c>
      <c r="D15" s="83">
        <v>0</v>
      </c>
      <c r="E15" s="83">
        <f t="shared" si="0"/>
        <v>5</v>
      </c>
      <c r="F15" s="90">
        <f t="shared" si="1"/>
        <v>0.22727272727272727</v>
      </c>
      <c r="G15" s="83">
        <f t="shared" si="2"/>
        <v>0.1874541746860966</v>
      </c>
      <c r="H15" s="84">
        <f>'5. All Tree Composition'!K17</f>
        <v>0.48105749999999997</v>
      </c>
      <c r="I15" s="84">
        <v>0</v>
      </c>
      <c r="J15" s="84">
        <f t="shared" si="3"/>
        <v>0.48105749999999997</v>
      </c>
      <c r="K15" s="84">
        <f t="shared" si="4"/>
        <v>2.186625E-2</v>
      </c>
      <c r="L15" s="84">
        <f t="shared" si="5"/>
        <v>0.18959338747639573</v>
      </c>
      <c r="M15" s="85">
        <f t="shared" si="6"/>
        <v>0.1111111111111111</v>
      </c>
      <c r="N15" s="85">
        <f t="shared" si="7"/>
        <v>3.7037037037037019</v>
      </c>
      <c r="O15" s="85">
        <f t="shared" si="8"/>
        <v>0.1874541746860966</v>
      </c>
      <c r="P15" s="85">
        <f t="shared" si="9"/>
        <v>0.18959338747639573</v>
      </c>
      <c r="Q15" s="85">
        <f t="shared" si="10"/>
        <v>4.0807512658661942</v>
      </c>
      <c r="R15" s="85">
        <f t="shared" si="11"/>
        <v>1.3602504219553984</v>
      </c>
      <c r="S15" s="92">
        <f t="shared" si="12"/>
        <v>1.8745417468609661E-3</v>
      </c>
      <c r="T15" s="93">
        <f t="shared" si="13"/>
        <v>-1.1770980670161243E-2</v>
      </c>
      <c r="U15" s="209"/>
      <c r="V15" s="209"/>
      <c r="W15" s="93">
        <f t="shared" si="14"/>
        <v>3.513906760724562E-6</v>
      </c>
      <c r="X15" s="209"/>
      <c r="Y15" s="210"/>
      <c r="Z15" s="211"/>
      <c r="AA15" s="212"/>
      <c r="AB15" s="208"/>
    </row>
    <row r="16" spans="1:28" s="1" customFormat="1" x14ac:dyDescent="0.25">
      <c r="A16" s="82" t="s">
        <v>10</v>
      </c>
      <c r="B16" s="82">
        <v>3</v>
      </c>
      <c r="C16" s="83">
        <f>'5. All Tree Composition'!F21</f>
        <v>5</v>
      </c>
      <c r="D16" s="83">
        <f>'5. All Tree Composition'!H4+'5. All Tree Composition'!H12</f>
        <v>286.47822765469823</v>
      </c>
      <c r="E16" s="83">
        <f t="shared" si="0"/>
        <v>291.47822765469823</v>
      </c>
      <c r="F16" s="90">
        <f t="shared" si="1"/>
        <v>13.249010347940828</v>
      </c>
      <c r="G16" s="83">
        <f t="shared" si="2"/>
        <v>10.927762120795528</v>
      </c>
      <c r="H16" s="84">
        <f>'5. All Tree Composition'!K21</f>
        <v>1.0618608</v>
      </c>
      <c r="I16" s="84">
        <f>'5. All Tree Composition'!M4+'5. All Tree Composition'!M12</f>
        <v>8.91</v>
      </c>
      <c r="J16" s="84">
        <f t="shared" si="3"/>
        <v>9.9718608</v>
      </c>
      <c r="K16" s="84">
        <f t="shared" si="4"/>
        <v>0.45326640000000001</v>
      </c>
      <c r="L16" s="84">
        <f t="shared" si="5"/>
        <v>3.930089165048007</v>
      </c>
      <c r="M16" s="85">
        <f t="shared" si="6"/>
        <v>0.33333333333333331</v>
      </c>
      <c r="N16" s="85">
        <f t="shared" si="7"/>
        <v>11.111111111111107</v>
      </c>
      <c r="O16" s="85">
        <f t="shared" si="8"/>
        <v>10.927762120795528</v>
      </c>
      <c r="P16" s="85">
        <f t="shared" si="9"/>
        <v>3.930089165048007</v>
      </c>
      <c r="Q16" s="85">
        <f t="shared" si="10"/>
        <v>25.968962396954641</v>
      </c>
      <c r="R16" s="174">
        <f t="shared" si="11"/>
        <v>8.6563207989848809</v>
      </c>
      <c r="S16" s="92">
        <f t="shared" si="12"/>
        <v>0.10927762120795527</v>
      </c>
      <c r="T16" s="93">
        <f t="shared" si="13"/>
        <v>-0.24192575348838133</v>
      </c>
      <c r="U16" s="209"/>
      <c r="V16" s="209"/>
      <c r="W16" s="93">
        <f t="shared" si="14"/>
        <v>1.1941598496869356E-2</v>
      </c>
      <c r="X16" s="209"/>
      <c r="Y16" s="210"/>
      <c r="Z16" s="211"/>
      <c r="AA16" s="212"/>
      <c r="AB16" s="208"/>
    </row>
    <row r="17" spans="1:28" s="1" customFormat="1" ht="30" x14ac:dyDescent="0.25">
      <c r="A17" s="82" t="s">
        <v>70</v>
      </c>
      <c r="B17" s="82">
        <v>1</v>
      </c>
      <c r="C17" s="83">
        <f>'5. All Tree Composition'!F24</f>
        <v>5</v>
      </c>
      <c r="D17" s="83">
        <v>0</v>
      </c>
      <c r="E17" s="83">
        <f t="shared" si="0"/>
        <v>5</v>
      </c>
      <c r="F17" s="90">
        <f t="shared" si="1"/>
        <v>0.22727272727272727</v>
      </c>
      <c r="G17" s="83">
        <f t="shared" si="2"/>
        <v>0.1874541746860966</v>
      </c>
      <c r="H17" s="84">
        <f>'5. All Tree Composition'!K24</f>
        <v>0.45396120000000006</v>
      </c>
      <c r="I17" s="84">
        <v>0</v>
      </c>
      <c r="J17" s="84">
        <f t="shared" si="3"/>
        <v>0.45396120000000006</v>
      </c>
      <c r="K17" s="84">
        <f t="shared" si="4"/>
        <v>2.0634600000000003E-2</v>
      </c>
      <c r="L17" s="84">
        <f t="shared" si="5"/>
        <v>0.17891424973282738</v>
      </c>
      <c r="M17" s="85">
        <f t="shared" si="6"/>
        <v>0.1111111111111111</v>
      </c>
      <c r="N17" s="85">
        <f t="shared" si="7"/>
        <v>3.7037037037037019</v>
      </c>
      <c r="O17" s="85">
        <f t="shared" si="8"/>
        <v>0.1874541746860966</v>
      </c>
      <c r="P17" s="85">
        <f t="shared" si="9"/>
        <v>0.17891424973282738</v>
      </c>
      <c r="Q17" s="85">
        <f t="shared" si="10"/>
        <v>4.070072128122626</v>
      </c>
      <c r="R17" s="85">
        <f t="shared" si="11"/>
        <v>1.3566907093742089</v>
      </c>
      <c r="S17" s="92">
        <f t="shared" si="12"/>
        <v>1.8745417468609661E-3</v>
      </c>
      <c r="T17" s="93">
        <f t="shared" si="13"/>
        <v>-1.1770980670161243E-2</v>
      </c>
      <c r="U17" s="209"/>
      <c r="V17" s="209"/>
      <c r="W17" s="93">
        <f t="shared" si="14"/>
        <v>3.513906760724562E-6</v>
      </c>
      <c r="X17" s="209"/>
      <c r="Y17" s="210"/>
      <c r="Z17" s="211"/>
      <c r="AA17" s="212"/>
      <c r="AB17" s="208"/>
    </row>
    <row r="18" spans="1:28" s="1" customFormat="1" x14ac:dyDescent="0.25">
      <c r="A18" s="82" t="s">
        <v>13</v>
      </c>
      <c r="B18" s="82">
        <v>2</v>
      </c>
      <c r="C18" s="83">
        <v>0</v>
      </c>
      <c r="D18" s="83">
        <f>'5. All Tree Composition'!H6+'5. All Tree Composition'!H16</f>
        <v>413.80188439011965</v>
      </c>
      <c r="E18" s="83">
        <f t="shared" si="0"/>
        <v>413.80188439011965</v>
      </c>
      <c r="F18" s="90">
        <f t="shared" si="1"/>
        <v>18.809176563187258</v>
      </c>
      <c r="G18" s="83">
        <f t="shared" si="2"/>
        <v>15.513778144380289</v>
      </c>
      <c r="H18" s="84">
        <v>0</v>
      </c>
      <c r="I18" s="84">
        <f>'5. All Tree Composition'!M6+'5. All Tree Composition'!M16</f>
        <v>14.26</v>
      </c>
      <c r="J18" s="84">
        <f t="shared" si="3"/>
        <v>14.26</v>
      </c>
      <c r="K18" s="84">
        <f t="shared" si="4"/>
        <v>0.64818181818181819</v>
      </c>
      <c r="L18" s="84">
        <f t="shared" si="5"/>
        <v>5.6201217222752033</v>
      </c>
      <c r="M18" s="85">
        <f t="shared" si="6"/>
        <v>0.22222222222222221</v>
      </c>
      <c r="N18" s="85">
        <f t="shared" si="7"/>
        <v>7.4074074074074039</v>
      </c>
      <c r="O18" s="85">
        <f t="shared" si="8"/>
        <v>15.513778144380289</v>
      </c>
      <c r="P18" s="85">
        <f t="shared" si="9"/>
        <v>5.6201217222752033</v>
      </c>
      <c r="Q18" s="85">
        <f t="shared" si="10"/>
        <v>28.541307274062898</v>
      </c>
      <c r="R18" s="174">
        <f t="shared" si="11"/>
        <v>9.5137690913543018</v>
      </c>
      <c r="S18" s="92">
        <f t="shared" si="12"/>
        <v>0.15513778144380289</v>
      </c>
      <c r="T18" s="93">
        <f t="shared" si="13"/>
        <v>-0.28909020255770979</v>
      </c>
      <c r="U18" s="209"/>
      <c r="V18" s="209"/>
      <c r="W18" s="93">
        <f t="shared" si="14"/>
        <v>2.4067731231305151E-2</v>
      </c>
      <c r="X18" s="209"/>
      <c r="Y18" s="210"/>
      <c r="Z18" s="211"/>
      <c r="AA18" s="212"/>
      <c r="AB18" s="208"/>
    </row>
    <row r="19" spans="1:28" s="4" customFormat="1" x14ac:dyDescent="0.25">
      <c r="A19" s="122" t="s">
        <v>127</v>
      </c>
      <c r="B19" s="122">
        <v>9</v>
      </c>
      <c r="C19" s="124"/>
      <c r="D19" s="53"/>
      <c r="E19" s="54">
        <f>SUM(E2:E18)</f>
        <v>2667.318563789152</v>
      </c>
      <c r="F19" s="54"/>
      <c r="G19" s="54"/>
      <c r="H19" s="55"/>
      <c r="I19" s="55"/>
      <c r="J19" s="55">
        <f>SUM(J2:J18)</f>
        <v>253.73115930000003</v>
      </c>
      <c r="K19" s="55"/>
      <c r="L19" s="55"/>
      <c r="M19" s="56">
        <f t="shared" ref="M19:W19" si="15">SUM(M2:M18)</f>
        <v>3.0000000000000009</v>
      </c>
      <c r="N19" s="56">
        <f t="shared" si="15"/>
        <v>99.999999999999929</v>
      </c>
      <c r="O19" s="56">
        <f t="shared" si="15"/>
        <v>100</v>
      </c>
      <c r="P19" s="56">
        <f t="shared" si="15"/>
        <v>99.999999999999986</v>
      </c>
      <c r="Q19" s="56">
        <f t="shared" si="15"/>
        <v>299.99999999999994</v>
      </c>
      <c r="R19" s="56"/>
      <c r="S19" s="81"/>
      <c r="T19" s="81">
        <f t="shared" si="15"/>
        <v>-1.7353815888489452</v>
      </c>
      <c r="U19" s="209"/>
      <c r="V19" s="209"/>
      <c r="W19" s="81">
        <f t="shared" si="15"/>
        <v>0.23828543173873659</v>
      </c>
      <c r="X19" s="209"/>
      <c r="Y19" s="210"/>
      <c r="Z19" s="211"/>
      <c r="AA19" s="212"/>
      <c r="AB19" s="208"/>
    </row>
    <row r="20" spans="1:28" s="1" customFormat="1" x14ac:dyDescent="0.25">
      <c r="B20" s="34"/>
      <c r="C20" s="34"/>
      <c r="H20" s="27"/>
      <c r="AA20" s="4"/>
    </row>
    <row r="21" spans="1:28" x14ac:dyDescent="0.25">
      <c r="AA21" s="94"/>
      <c r="AB21"/>
    </row>
    <row r="22" spans="1:28" x14ac:dyDescent="0.25">
      <c r="AA22" s="94"/>
      <c r="AB22"/>
    </row>
    <row r="23" spans="1:28" x14ac:dyDescent="0.25">
      <c r="AA23" s="94"/>
      <c r="AB23"/>
    </row>
    <row r="24" spans="1:28" x14ac:dyDescent="0.25">
      <c r="AA24" s="94"/>
      <c r="AB24"/>
    </row>
    <row r="25" spans="1:28" x14ac:dyDescent="0.25">
      <c r="AA25" s="94"/>
      <c r="AB25"/>
    </row>
    <row r="26" spans="1:28" x14ac:dyDescent="0.25">
      <c r="AA26" s="94"/>
      <c r="AB26"/>
    </row>
    <row r="27" spans="1:28" x14ac:dyDescent="0.25">
      <c r="AA27" s="94"/>
      <c r="AB27"/>
    </row>
    <row r="28" spans="1:28" x14ac:dyDescent="0.25">
      <c r="AA28" s="94"/>
      <c r="AB28"/>
    </row>
    <row r="29" spans="1:28" x14ac:dyDescent="0.25">
      <c r="AA29" s="94"/>
      <c r="AB29"/>
    </row>
    <row r="30" spans="1:28" x14ac:dyDescent="0.25">
      <c r="AA30" s="94"/>
      <c r="AB30"/>
    </row>
    <row r="31" spans="1:28" x14ac:dyDescent="0.25">
      <c r="AA31" s="94"/>
      <c r="AB31"/>
    </row>
    <row r="32" spans="1:28" x14ac:dyDescent="0.25">
      <c r="AA32" s="94"/>
      <c r="AB32"/>
    </row>
    <row r="33" spans="27:28" x14ac:dyDescent="0.25">
      <c r="AA33" s="94"/>
      <c r="AB33"/>
    </row>
    <row r="34" spans="27:28" x14ac:dyDescent="0.25">
      <c r="AA34" s="94"/>
      <c r="AB34"/>
    </row>
    <row r="35" spans="27:28" x14ac:dyDescent="0.25">
      <c r="AA35" s="94"/>
      <c r="AB35"/>
    </row>
    <row r="36" spans="27:28" x14ac:dyDescent="0.25">
      <c r="AA36" s="94"/>
      <c r="AB36"/>
    </row>
  </sheetData>
  <mergeCells count="7">
    <mergeCell ref="AB2:AB19"/>
    <mergeCell ref="X2:X19"/>
    <mergeCell ref="U2:U19"/>
    <mergeCell ref="Y2:Y19"/>
    <mergeCell ref="Z2:Z19"/>
    <mergeCell ref="AA2:AA19"/>
    <mergeCell ref="V2:V19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2"/>
  <sheetViews>
    <sheetView topLeftCell="A64" workbookViewId="0">
      <selection activeCell="G1" sqref="G1"/>
    </sheetView>
  </sheetViews>
  <sheetFormatPr defaultRowHeight="15" x14ac:dyDescent="0.25"/>
  <cols>
    <col min="1" max="1" width="7.5703125" customWidth="1"/>
    <col min="2" max="2" width="7.28515625" customWidth="1"/>
    <col min="3" max="3" width="11.7109375" customWidth="1"/>
    <col min="4" max="4" width="28" customWidth="1"/>
    <col min="6" max="6" width="13.28515625" customWidth="1"/>
    <col min="7" max="7" width="10" customWidth="1"/>
  </cols>
  <sheetData>
    <row r="1" spans="1:7" ht="4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36</v>
      </c>
      <c r="F1" s="2" t="s">
        <v>203</v>
      </c>
      <c r="G1" s="2" t="s">
        <v>37</v>
      </c>
    </row>
    <row r="2" spans="1:7" x14ac:dyDescent="0.25">
      <c r="A2" s="182" t="s">
        <v>32</v>
      </c>
      <c r="B2" s="182">
        <v>1</v>
      </c>
      <c r="C2" s="5" t="s">
        <v>38</v>
      </c>
      <c r="D2" s="15" t="s">
        <v>39</v>
      </c>
      <c r="E2" s="5">
        <v>4</v>
      </c>
      <c r="F2" s="33">
        <f>E2*10000/50.0146</f>
        <v>799.76646819128814</v>
      </c>
      <c r="G2" s="5">
        <v>800</v>
      </c>
    </row>
    <row r="3" spans="1:7" x14ac:dyDescent="0.25">
      <c r="A3" s="182"/>
      <c r="B3" s="182"/>
      <c r="C3" s="5" t="s">
        <v>7</v>
      </c>
      <c r="D3" s="5" t="s">
        <v>8</v>
      </c>
      <c r="E3" s="5">
        <v>11</v>
      </c>
      <c r="F3" s="33">
        <f t="shared" ref="F3:F19" si="0">E3*10000/50.0146</f>
        <v>2199.3577875260421</v>
      </c>
      <c r="G3" s="5">
        <v>2199</v>
      </c>
    </row>
    <row r="4" spans="1:7" x14ac:dyDescent="0.25">
      <c r="A4" s="182"/>
      <c r="B4" s="182"/>
      <c r="C4" s="5" t="s">
        <v>9</v>
      </c>
      <c r="D4" s="5" t="s">
        <v>10</v>
      </c>
      <c r="E4" s="5">
        <v>1</v>
      </c>
      <c r="F4" s="33">
        <f t="shared" si="0"/>
        <v>199.94161704782204</v>
      </c>
      <c r="G4" s="5">
        <v>200</v>
      </c>
    </row>
    <row r="5" spans="1:7" x14ac:dyDescent="0.25">
      <c r="A5" s="182"/>
      <c r="B5" s="182"/>
      <c r="C5" s="5" t="s">
        <v>40</v>
      </c>
      <c r="D5" s="5" t="s">
        <v>41</v>
      </c>
      <c r="E5" s="5">
        <v>6</v>
      </c>
      <c r="F5" s="33">
        <f t="shared" si="0"/>
        <v>1199.6497022869321</v>
      </c>
      <c r="G5" s="5">
        <v>1200</v>
      </c>
    </row>
    <row r="6" spans="1:7" x14ac:dyDescent="0.25">
      <c r="A6" s="182"/>
      <c r="B6" s="182"/>
      <c r="C6" s="5" t="s">
        <v>42</v>
      </c>
      <c r="D6" s="5" t="s">
        <v>43</v>
      </c>
      <c r="E6" s="5">
        <v>2</v>
      </c>
      <c r="F6" s="33">
        <f t="shared" si="0"/>
        <v>399.88323409564407</v>
      </c>
      <c r="G6" s="5">
        <v>400</v>
      </c>
    </row>
    <row r="7" spans="1:7" x14ac:dyDescent="0.25">
      <c r="A7" s="182"/>
      <c r="B7" s="182"/>
      <c r="C7" s="5" t="s">
        <v>44</v>
      </c>
      <c r="D7" s="5" t="s">
        <v>45</v>
      </c>
      <c r="E7" s="5">
        <v>1</v>
      </c>
      <c r="F7" s="33">
        <f t="shared" si="0"/>
        <v>199.94161704782204</v>
      </c>
      <c r="G7" s="5">
        <v>200</v>
      </c>
    </row>
    <row r="8" spans="1:7" x14ac:dyDescent="0.25">
      <c r="A8" s="182"/>
      <c r="B8" s="182">
        <v>2</v>
      </c>
      <c r="C8" s="5" t="s">
        <v>12</v>
      </c>
      <c r="D8" s="5" t="s">
        <v>13</v>
      </c>
      <c r="E8" s="5">
        <v>7</v>
      </c>
      <c r="F8" s="33">
        <f t="shared" si="0"/>
        <v>1399.5913193347542</v>
      </c>
      <c r="G8" s="5">
        <v>1400</v>
      </c>
    </row>
    <row r="9" spans="1:7" x14ac:dyDescent="0.25">
      <c r="A9" s="182"/>
      <c r="B9" s="182"/>
      <c r="C9" s="5" t="s">
        <v>7</v>
      </c>
      <c r="D9" s="5" t="s">
        <v>8</v>
      </c>
      <c r="E9" s="5">
        <v>5</v>
      </c>
      <c r="F9" s="33">
        <f t="shared" si="0"/>
        <v>999.70808523911012</v>
      </c>
      <c r="G9" s="5">
        <v>1000</v>
      </c>
    </row>
    <row r="10" spans="1:7" x14ac:dyDescent="0.25">
      <c r="A10" s="182"/>
      <c r="B10" s="182">
        <v>3</v>
      </c>
      <c r="C10" s="5" t="s">
        <v>38</v>
      </c>
      <c r="D10" s="15" t="s">
        <v>39</v>
      </c>
      <c r="E10" s="5">
        <v>7</v>
      </c>
      <c r="F10" s="33">
        <f t="shared" si="0"/>
        <v>1399.5913193347542</v>
      </c>
      <c r="G10" s="5">
        <v>1400</v>
      </c>
    </row>
    <row r="11" spans="1:7" x14ac:dyDescent="0.25">
      <c r="A11" s="182"/>
      <c r="B11" s="182"/>
      <c r="C11" s="5" t="s">
        <v>12</v>
      </c>
      <c r="D11" s="5" t="s">
        <v>13</v>
      </c>
      <c r="E11" s="5">
        <v>2</v>
      </c>
      <c r="F11" s="33">
        <f t="shared" si="0"/>
        <v>399.88323409564407</v>
      </c>
      <c r="G11" s="5">
        <v>400</v>
      </c>
    </row>
    <row r="12" spans="1:7" x14ac:dyDescent="0.25">
      <c r="A12" s="182"/>
      <c r="B12" s="182"/>
      <c r="C12" s="5" t="s">
        <v>7</v>
      </c>
      <c r="D12" s="5" t="s">
        <v>8</v>
      </c>
      <c r="E12" s="5">
        <v>20</v>
      </c>
      <c r="F12" s="33">
        <f t="shared" si="0"/>
        <v>3998.8323409564405</v>
      </c>
      <c r="G12" s="5">
        <v>3999</v>
      </c>
    </row>
    <row r="13" spans="1:7" x14ac:dyDescent="0.25">
      <c r="A13" s="182"/>
      <c r="B13" s="182"/>
      <c r="C13" s="5" t="s">
        <v>46</v>
      </c>
      <c r="D13" s="5" t="s">
        <v>47</v>
      </c>
      <c r="E13" s="5">
        <v>1</v>
      </c>
      <c r="F13" s="33">
        <f t="shared" si="0"/>
        <v>199.94161704782204</v>
      </c>
      <c r="G13" s="5">
        <v>200</v>
      </c>
    </row>
    <row r="14" spans="1:7" x14ac:dyDescent="0.25">
      <c r="A14" s="182"/>
      <c r="B14" s="182"/>
      <c r="C14" s="5" t="s">
        <v>48</v>
      </c>
      <c r="D14" s="5" t="s">
        <v>49</v>
      </c>
      <c r="E14" s="5">
        <v>1</v>
      </c>
      <c r="F14" s="33">
        <f t="shared" si="0"/>
        <v>199.94161704782204</v>
      </c>
      <c r="G14" s="5">
        <v>200</v>
      </c>
    </row>
    <row r="15" spans="1:7" x14ac:dyDescent="0.25">
      <c r="A15" s="182"/>
      <c r="B15" s="182">
        <v>4</v>
      </c>
      <c r="C15" s="5" t="s">
        <v>50</v>
      </c>
      <c r="D15" s="5" t="s">
        <v>51</v>
      </c>
      <c r="E15" s="5">
        <v>21</v>
      </c>
      <c r="F15" s="33">
        <f t="shared" si="0"/>
        <v>4198.7739580042626</v>
      </c>
      <c r="G15" s="5">
        <v>4199</v>
      </c>
    </row>
    <row r="16" spans="1:7" x14ac:dyDescent="0.25">
      <c r="A16" s="182"/>
      <c r="B16" s="182"/>
      <c r="C16" s="5" t="s">
        <v>12</v>
      </c>
      <c r="D16" s="5" t="s">
        <v>13</v>
      </c>
      <c r="E16" s="5">
        <v>13</v>
      </c>
      <c r="F16" s="33">
        <f t="shared" si="0"/>
        <v>2599.2410216216863</v>
      </c>
      <c r="G16" s="5">
        <v>2599</v>
      </c>
    </row>
    <row r="17" spans="1:7" x14ac:dyDescent="0.25">
      <c r="A17" s="182"/>
      <c r="B17" s="182"/>
      <c r="C17" s="5" t="s">
        <v>7</v>
      </c>
      <c r="D17" s="5" t="s">
        <v>8</v>
      </c>
      <c r="E17" s="5">
        <v>21</v>
      </c>
      <c r="F17" s="33">
        <f t="shared" si="0"/>
        <v>4198.7739580042626</v>
      </c>
      <c r="G17" s="5">
        <v>4199</v>
      </c>
    </row>
    <row r="18" spans="1:7" x14ac:dyDescent="0.25">
      <c r="A18" s="182"/>
      <c r="B18" s="182"/>
      <c r="C18" s="5" t="s">
        <v>40</v>
      </c>
      <c r="D18" s="5" t="s">
        <v>41</v>
      </c>
      <c r="E18" s="5">
        <v>10</v>
      </c>
      <c r="F18" s="33">
        <f t="shared" si="0"/>
        <v>1999.4161704782202</v>
      </c>
      <c r="G18" s="5">
        <v>1999</v>
      </c>
    </row>
    <row r="19" spans="1:7" x14ac:dyDescent="0.25">
      <c r="A19" s="182"/>
      <c r="B19" s="182"/>
      <c r="C19" s="5" t="s">
        <v>16</v>
      </c>
      <c r="D19" s="5" t="s">
        <v>17</v>
      </c>
      <c r="E19" s="5">
        <v>2</v>
      </c>
      <c r="F19" s="33">
        <f t="shared" si="0"/>
        <v>399.88323409564407</v>
      </c>
      <c r="G19" s="5">
        <v>400</v>
      </c>
    </row>
    <row r="20" spans="1:7" x14ac:dyDescent="0.25">
      <c r="A20" s="182" t="s">
        <v>52</v>
      </c>
      <c r="B20" s="182" t="s">
        <v>11</v>
      </c>
      <c r="C20" s="16" t="s">
        <v>53</v>
      </c>
      <c r="D20" s="5" t="s">
        <v>54</v>
      </c>
      <c r="E20" s="16">
        <v>2</v>
      </c>
      <c r="F20" s="33">
        <f t="shared" ref="F20:F32" si="1">E20*10000/50.0146</f>
        <v>399.88323409564407</v>
      </c>
      <c r="G20" s="16">
        <v>400</v>
      </c>
    </row>
    <row r="21" spans="1:7" x14ac:dyDescent="0.25">
      <c r="A21" s="182"/>
      <c r="B21" s="182"/>
      <c r="C21" s="16" t="s">
        <v>55</v>
      </c>
      <c r="D21" s="5" t="s">
        <v>56</v>
      </c>
      <c r="E21" s="16">
        <v>9</v>
      </c>
      <c r="F21" s="33">
        <f t="shared" si="1"/>
        <v>1799.4745534303984</v>
      </c>
      <c r="G21" s="16">
        <v>1799</v>
      </c>
    </row>
    <row r="22" spans="1:7" x14ac:dyDescent="0.25">
      <c r="A22" s="182"/>
      <c r="B22" s="182"/>
      <c r="C22" s="16" t="s">
        <v>57</v>
      </c>
      <c r="D22" s="5" t="s">
        <v>58</v>
      </c>
      <c r="E22" s="16">
        <v>2</v>
      </c>
      <c r="F22" s="33">
        <f t="shared" si="1"/>
        <v>399.88323409564407</v>
      </c>
      <c r="G22" s="16">
        <v>400</v>
      </c>
    </row>
    <row r="23" spans="1:7" x14ac:dyDescent="0.25">
      <c r="A23" s="182"/>
      <c r="B23" s="182"/>
      <c r="C23" s="16" t="s">
        <v>59</v>
      </c>
      <c r="D23" s="16" t="s">
        <v>60</v>
      </c>
      <c r="E23" s="16">
        <v>2</v>
      </c>
      <c r="F23" s="33">
        <f t="shared" si="1"/>
        <v>399.88323409564407</v>
      </c>
      <c r="G23" s="16">
        <v>400</v>
      </c>
    </row>
    <row r="24" spans="1:7" x14ac:dyDescent="0.25">
      <c r="A24" s="182"/>
      <c r="B24" s="182"/>
      <c r="C24" s="16" t="s">
        <v>44</v>
      </c>
      <c r="D24" s="5" t="s">
        <v>45</v>
      </c>
      <c r="E24" s="16">
        <v>5</v>
      </c>
      <c r="F24" s="33">
        <f t="shared" si="1"/>
        <v>999.70808523911012</v>
      </c>
      <c r="G24" s="16">
        <v>1000</v>
      </c>
    </row>
    <row r="25" spans="1:7" x14ac:dyDescent="0.25">
      <c r="A25" s="182"/>
      <c r="B25" s="182"/>
      <c r="C25" s="16" t="s">
        <v>61</v>
      </c>
      <c r="D25" s="5" t="s">
        <v>62</v>
      </c>
      <c r="E25" s="16">
        <v>3</v>
      </c>
      <c r="F25" s="33">
        <f t="shared" si="1"/>
        <v>599.82485114346605</v>
      </c>
      <c r="G25" s="16">
        <v>600</v>
      </c>
    </row>
    <row r="26" spans="1:7" x14ac:dyDescent="0.25">
      <c r="A26" s="182"/>
      <c r="B26" s="182" t="s">
        <v>14</v>
      </c>
      <c r="C26" s="16" t="s">
        <v>57</v>
      </c>
      <c r="D26" s="5" t="s">
        <v>58</v>
      </c>
      <c r="E26" s="16">
        <v>2</v>
      </c>
      <c r="F26" s="33">
        <f t="shared" si="1"/>
        <v>399.88323409564407</v>
      </c>
      <c r="G26" s="16">
        <v>400</v>
      </c>
    </row>
    <row r="27" spans="1:7" x14ac:dyDescent="0.25">
      <c r="A27" s="182"/>
      <c r="B27" s="182"/>
      <c r="C27" s="16" t="s">
        <v>59</v>
      </c>
      <c r="D27" s="16" t="s">
        <v>60</v>
      </c>
      <c r="E27" s="16">
        <v>4</v>
      </c>
      <c r="F27" s="33">
        <f t="shared" si="1"/>
        <v>799.76646819128814</v>
      </c>
      <c r="G27" s="16">
        <v>800</v>
      </c>
    </row>
    <row r="28" spans="1:7" x14ac:dyDescent="0.25">
      <c r="A28" s="182"/>
      <c r="B28" s="182"/>
      <c r="C28" s="16" t="s">
        <v>61</v>
      </c>
      <c r="D28" s="5" t="s">
        <v>62</v>
      </c>
      <c r="E28" s="16">
        <v>2</v>
      </c>
      <c r="F28" s="33">
        <f t="shared" si="1"/>
        <v>399.88323409564407</v>
      </c>
      <c r="G28" s="16">
        <v>400</v>
      </c>
    </row>
    <row r="29" spans="1:7" x14ac:dyDescent="0.25">
      <c r="A29" s="182"/>
      <c r="B29" s="182" t="s">
        <v>15</v>
      </c>
      <c r="C29" s="16" t="s">
        <v>53</v>
      </c>
      <c r="D29" s="5" t="s">
        <v>54</v>
      </c>
      <c r="E29" s="16">
        <v>3</v>
      </c>
      <c r="F29" s="33">
        <f t="shared" si="1"/>
        <v>599.82485114346605</v>
      </c>
      <c r="G29" s="16">
        <v>600</v>
      </c>
    </row>
    <row r="30" spans="1:7" x14ac:dyDescent="0.25">
      <c r="A30" s="182"/>
      <c r="B30" s="182"/>
      <c r="C30" s="16" t="s">
        <v>59</v>
      </c>
      <c r="D30" s="16" t="s">
        <v>60</v>
      </c>
      <c r="E30" s="16">
        <v>4</v>
      </c>
      <c r="F30" s="33">
        <f t="shared" si="1"/>
        <v>799.76646819128814</v>
      </c>
      <c r="G30" s="16">
        <v>800</v>
      </c>
    </row>
    <row r="31" spans="1:7" x14ac:dyDescent="0.25">
      <c r="A31" s="182"/>
      <c r="B31" s="182"/>
      <c r="C31" s="16" t="s">
        <v>44</v>
      </c>
      <c r="D31" s="5" t="s">
        <v>45</v>
      </c>
      <c r="E31" s="16">
        <v>3</v>
      </c>
      <c r="F31" s="33">
        <f t="shared" si="1"/>
        <v>599.82485114346605</v>
      </c>
      <c r="G31" s="16">
        <v>600</v>
      </c>
    </row>
    <row r="32" spans="1:7" x14ac:dyDescent="0.25">
      <c r="A32" s="182"/>
      <c r="B32" s="182"/>
      <c r="C32" s="16" t="s">
        <v>61</v>
      </c>
      <c r="D32" s="5" t="s">
        <v>62</v>
      </c>
      <c r="E32" s="16">
        <v>3</v>
      </c>
      <c r="F32" s="33">
        <f t="shared" si="1"/>
        <v>599.82485114346605</v>
      </c>
      <c r="G32" s="16">
        <v>600</v>
      </c>
    </row>
    <row r="33" spans="1:7" x14ac:dyDescent="0.25">
      <c r="A33" s="182" t="s">
        <v>33</v>
      </c>
      <c r="B33" s="182" t="s">
        <v>14</v>
      </c>
      <c r="C33" s="5" t="s">
        <v>7</v>
      </c>
      <c r="D33" s="5" t="s">
        <v>8</v>
      </c>
      <c r="E33" s="5">
        <v>3</v>
      </c>
      <c r="F33" s="33">
        <f t="shared" ref="F33:F49" si="2">E33*10000/50.0146</f>
        <v>599.82485114346605</v>
      </c>
      <c r="G33" s="5">
        <v>600</v>
      </c>
    </row>
    <row r="34" spans="1:7" x14ac:dyDescent="0.25">
      <c r="A34" s="182"/>
      <c r="B34" s="182"/>
      <c r="C34" s="5" t="s">
        <v>9</v>
      </c>
      <c r="D34" s="5" t="s">
        <v>10</v>
      </c>
      <c r="E34" s="5">
        <v>7</v>
      </c>
      <c r="F34" s="33">
        <f t="shared" si="2"/>
        <v>1399.5913193347542</v>
      </c>
      <c r="G34" s="5">
        <v>1400</v>
      </c>
    </row>
    <row r="35" spans="1:7" x14ac:dyDescent="0.25">
      <c r="A35" s="182"/>
      <c r="B35" s="182"/>
      <c r="C35" s="5" t="s">
        <v>40</v>
      </c>
      <c r="D35" s="5" t="s">
        <v>41</v>
      </c>
      <c r="E35" s="5">
        <v>3</v>
      </c>
      <c r="F35" s="33">
        <f t="shared" si="2"/>
        <v>599.82485114346605</v>
      </c>
      <c r="G35" s="5">
        <v>600</v>
      </c>
    </row>
    <row r="36" spans="1:7" s="1" customFormat="1" x14ac:dyDescent="0.25">
      <c r="A36" s="182"/>
      <c r="B36" s="182"/>
      <c r="C36" s="5" t="s">
        <v>63</v>
      </c>
      <c r="D36" s="5" t="s">
        <v>64</v>
      </c>
      <c r="E36" s="5">
        <v>1</v>
      </c>
      <c r="F36" s="33">
        <f t="shared" si="2"/>
        <v>199.94161704782204</v>
      </c>
      <c r="G36" s="5">
        <v>200</v>
      </c>
    </row>
    <row r="37" spans="1:7" s="1" customFormat="1" x14ac:dyDescent="0.25">
      <c r="A37" s="182"/>
      <c r="B37" s="182" t="s">
        <v>15</v>
      </c>
      <c r="C37" s="5" t="s">
        <v>18</v>
      </c>
      <c r="D37" s="5" t="s">
        <v>35</v>
      </c>
      <c r="E37" s="5">
        <v>1</v>
      </c>
      <c r="F37" s="33">
        <f t="shared" si="2"/>
        <v>199.94161704782204</v>
      </c>
      <c r="G37" s="5">
        <v>200</v>
      </c>
    </row>
    <row r="38" spans="1:7" s="1" customFormat="1" x14ac:dyDescent="0.25">
      <c r="A38" s="182"/>
      <c r="B38" s="182"/>
      <c r="C38" s="5" t="s">
        <v>65</v>
      </c>
      <c r="D38" s="107" t="s">
        <v>95</v>
      </c>
      <c r="E38" s="5">
        <v>1</v>
      </c>
      <c r="F38" s="33">
        <f t="shared" si="2"/>
        <v>199.94161704782204</v>
      </c>
      <c r="G38" s="5">
        <v>200</v>
      </c>
    </row>
    <row r="39" spans="1:7" s="1" customFormat="1" x14ac:dyDescent="0.25">
      <c r="A39" s="182"/>
      <c r="B39" s="182"/>
      <c r="C39" s="5" t="s">
        <v>12</v>
      </c>
      <c r="D39" s="5" t="s">
        <v>13</v>
      </c>
      <c r="E39" s="5">
        <v>5</v>
      </c>
      <c r="F39" s="33">
        <f t="shared" si="2"/>
        <v>999.70808523911012</v>
      </c>
      <c r="G39" s="5">
        <v>1000</v>
      </c>
    </row>
    <row r="40" spans="1:7" s="1" customFormat="1" x14ac:dyDescent="0.25">
      <c r="A40" s="182"/>
      <c r="B40" s="182"/>
      <c r="C40" s="5" t="s">
        <v>40</v>
      </c>
      <c r="D40" s="5" t="s">
        <v>41</v>
      </c>
      <c r="E40" s="5">
        <v>2</v>
      </c>
      <c r="F40" s="33">
        <f t="shared" si="2"/>
        <v>399.88323409564407</v>
      </c>
      <c r="G40" s="5">
        <v>400</v>
      </c>
    </row>
    <row r="41" spans="1:7" s="1" customFormat="1" x14ac:dyDescent="0.25">
      <c r="A41" s="182" t="s">
        <v>66</v>
      </c>
      <c r="B41" s="182" t="s">
        <v>6</v>
      </c>
      <c r="C41" s="5" t="s">
        <v>53</v>
      </c>
      <c r="D41" s="5" t="s">
        <v>54</v>
      </c>
      <c r="E41" s="5">
        <v>10</v>
      </c>
      <c r="F41" s="33">
        <f t="shared" si="2"/>
        <v>1999.4161704782202</v>
      </c>
      <c r="G41" s="5">
        <v>1999</v>
      </c>
    </row>
    <row r="42" spans="1:7" s="1" customFormat="1" x14ac:dyDescent="0.25">
      <c r="A42" s="182"/>
      <c r="B42" s="182"/>
      <c r="C42" s="5" t="s">
        <v>67</v>
      </c>
      <c r="D42" s="5" t="s">
        <v>68</v>
      </c>
      <c r="E42" s="5">
        <v>1</v>
      </c>
      <c r="F42" s="33">
        <f t="shared" si="2"/>
        <v>199.94161704782204</v>
      </c>
      <c r="G42" s="5">
        <v>200</v>
      </c>
    </row>
    <row r="43" spans="1:7" s="1" customFormat="1" x14ac:dyDescent="0.25">
      <c r="A43" s="182"/>
      <c r="B43" s="182"/>
      <c r="C43" s="5" t="s">
        <v>9</v>
      </c>
      <c r="D43" s="5" t="s">
        <v>10</v>
      </c>
      <c r="E43" s="5">
        <v>20</v>
      </c>
      <c r="F43" s="33">
        <f t="shared" si="2"/>
        <v>3998.8323409564405</v>
      </c>
      <c r="G43" s="5">
        <v>3999</v>
      </c>
    </row>
    <row r="44" spans="1:7" s="1" customFormat="1" x14ac:dyDescent="0.25">
      <c r="A44" s="182"/>
      <c r="B44" s="182"/>
      <c r="C44" s="5" t="s">
        <v>40</v>
      </c>
      <c r="D44" s="5" t="s">
        <v>41</v>
      </c>
      <c r="E44" s="5">
        <v>20</v>
      </c>
      <c r="F44" s="33">
        <f t="shared" si="2"/>
        <v>3998.8323409564405</v>
      </c>
      <c r="G44" s="5">
        <v>3999</v>
      </c>
    </row>
    <row r="45" spans="1:7" s="1" customFormat="1" x14ac:dyDescent="0.25">
      <c r="A45" s="182"/>
      <c r="B45" s="182"/>
      <c r="C45" s="5" t="s">
        <v>69</v>
      </c>
      <c r="D45" s="5" t="s">
        <v>70</v>
      </c>
      <c r="E45" s="5">
        <v>4</v>
      </c>
      <c r="F45" s="33">
        <f t="shared" si="2"/>
        <v>799.76646819128814</v>
      </c>
      <c r="G45" s="5">
        <v>800</v>
      </c>
    </row>
    <row r="46" spans="1:7" s="1" customFormat="1" x14ac:dyDescent="0.25">
      <c r="A46" s="182"/>
      <c r="B46" s="182" t="s">
        <v>11</v>
      </c>
      <c r="C46" s="23" t="s">
        <v>87</v>
      </c>
      <c r="D46" s="5" t="s">
        <v>71</v>
      </c>
      <c r="E46" s="5">
        <v>1</v>
      </c>
      <c r="F46" s="33">
        <f t="shared" si="2"/>
        <v>199.94161704782204</v>
      </c>
      <c r="G46" s="5">
        <v>200</v>
      </c>
    </row>
    <row r="47" spans="1:7" s="1" customFormat="1" x14ac:dyDescent="0.25">
      <c r="A47" s="182"/>
      <c r="B47" s="182"/>
      <c r="C47" s="5" t="s">
        <v>40</v>
      </c>
      <c r="D47" s="5" t="s">
        <v>41</v>
      </c>
      <c r="E47" s="5">
        <v>5</v>
      </c>
      <c r="F47" s="33">
        <f t="shared" si="2"/>
        <v>999.70808523911012</v>
      </c>
      <c r="G47" s="5">
        <v>1000</v>
      </c>
    </row>
    <row r="48" spans="1:7" s="1" customFormat="1" x14ac:dyDescent="0.25">
      <c r="A48" s="182"/>
      <c r="B48" s="182" t="s">
        <v>15</v>
      </c>
      <c r="C48" s="5" t="s">
        <v>72</v>
      </c>
      <c r="D48" s="5" t="s">
        <v>73</v>
      </c>
      <c r="E48" s="5">
        <v>1</v>
      </c>
      <c r="F48" s="33">
        <f t="shared" si="2"/>
        <v>199.94161704782204</v>
      </c>
      <c r="G48" s="5">
        <v>200</v>
      </c>
    </row>
    <row r="49" spans="1:7" x14ac:dyDescent="0.25">
      <c r="A49" s="182"/>
      <c r="B49" s="182"/>
      <c r="C49" s="5" t="s">
        <v>74</v>
      </c>
      <c r="D49" s="5" t="s">
        <v>75</v>
      </c>
      <c r="E49" s="5">
        <v>1</v>
      </c>
      <c r="F49" s="33">
        <f t="shared" si="2"/>
        <v>199.94161704782204</v>
      </c>
      <c r="G49" s="5">
        <v>200</v>
      </c>
    </row>
    <row r="50" spans="1:7" x14ac:dyDescent="0.25">
      <c r="A50" s="182" t="s">
        <v>96</v>
      </c>
      <c r="B50" s="182" t="s">
        <v>6</v>
      </c>
      <c r="C50" s="5" t="s">
        <v>53</v>
      </c>
      <c r="D50" s="5" t="s">
        <v>54</v>
      </c>
      <c r="E50" s="5">
        <v>2</v>
      </c>
      <c r="F50" s="33">
        <f t="shared" ref="F50:F58" si="3">E50*10000/50.0146</f>
        <v>399.88323409564407</v>
      </c>
      <c r="G50" s="5">
        <v>400</v>
      </c>
    </row>
    <row r="51" spans="1:7" x14ac:dyDescent="0.25">
      <c r="A51" s="182"/>
      <c r="B51" s="182"/>
      <c r="C51" s="5" t="s">
        <v>7</v>
      </c>
      <c r="D51" s="5" t="s">
        <v>8</v>
      </c>
      <c r="E51" s="5">
        <v>3</v>
      </c>
      <c r="F51" s="33">
        <f t="shared" si="3"/>
        <v>599.82485114346605</v>
      </c>
      <c r="G51" s="5">
        <v>600</v>
      </c>
    </row>
    <row r="52" spans="1:7" x14ac:dyDescent="0.25">
      <c r="A52" s="182"/>
      <c r="B52" s="182"/>
      <c r="C52" s="5" t="s">
        <v>59</v>
      </c>
      <c r="D52" s="5" t="s">
        <v>60</v>
      </c>
      <c r="E52" s="5">
        <v>2</v>
      </c>
      <c r="F52" s="33">
        <f t="shared" si="3"/>
        <v>399.88323409564407</v>
      </c>
      <c r="G52" s="5">
        <v>400</v>
      </c>
    </row>
    <row r="53" spans="1:7" x14ac:dyDescent="0.25">
      <c r="A53" s="182"/>
      <c r="B53" s="182" t="s">
        <v>11</v>
      </c>
      <c r="C53" s="5" t="s">
        <v>55</v>
      </c>
      <c r="D53" s="5" t="s">
        <v>56</v>
      </c>
      <c r="E53" s="5">
        <v>2</v>
      </c>
      <c r="F53" s="33">
        <f t="shared" si="3"/>
        <v>399.88323409564407</v>
      </c>
      <c r="G53" s="5">
        <v>400</v>
      </c>
    </row>
    <row r="54" spans="1:7" x14ac:dyDescent="0.25">
      <c r="A54" s="182"/>
      <c r="B54" s="182"/>
      <c r="C54" s="5" t="s">
        <v>7</v>
      </c>
      <c r="D54" s="5" t="s">
        <v>8</v>
      </c>
      <c r="E54" s="5">
        <v>2</v>
      </c>
      <c r="F54" s="33">
        <f t="shared" si="3"/>
        <v>399.88323409564407</v>
      </c>
      <c r="G54" s="5">
        <v>400</v>
      </c>
    </row>
    <row r="55" spans="1:7" x14ac:dyDescent="0.25">
      <c r="A55" s="182"/>
      <c r="B55" s="182"/>
      <c r="C55" s="5" t="s">
        <v>59</v>
      </c>
      <c r="D55" s="5" t="s">
        <v>60</v>
      </c>
      <c r="E55" s="5">
        <v>2</v>
      </c>
      <c r="F55" s="33">
        <f t="shared" si="3"/>
        <v>399.88323409564407</v>
      </c>
      <c r="G55" s="5">
        <v>400</v>
      </c>
    </row>
    <row r="56" spans="1:7" x14ac:dyDescent="0.25">
      <c r="A56" s="182"/>
      <c r="B56" s="182" t="s">
        <v>14</v>
      </c>
      <c r="C56" s="5" t="s">
        <v>53</v>
      </c>
      <c r="D56" s="5" t="s">
        <v>54</v>
      </c>
      <c r="E56" s="5">
        <v>3</v>
      </c>
      <c r="F56" s="33">
        <f t="shared" si="3"/>
        <v>599.82485114346605</v>
      </c>
      <c r="G56" s="5">
        <v>600</v>
      </c>
    </row>
    <row r="57" spans="1:7" x14ac:dyDescent="0.25">
      <c r="A57" s="182"/>
      <c r="B57" s="182"/>
      <c r="C57" s="5" t="s">
        <v>55</v>
      </c>
      <c r="D57" s="5" t="s">
        <v>56</v>
      </c>
      <c r="E57" s="5">
        <v>2</v>
      </c>
      <c r="F57" s="33">
        <f t="shared" si="3"/>
        <v>399.88323409564407</v>
      </c>
      <c r="G57" s="5">
        <v>400</v>
      </c>
    </row>
    <row r="58" spans="1:7" x14ac:dyDescent="0.25">
      <c r="A58" s="182"/>
      <c r="B58" s="182"/>
      <c r="C58" s="5" t="s">
        <v>9</v>
      </c>
      <c r="D58" s="5" t="s">
        <v>10</v>
      </c>
      <c r="E58" s="5">
        <v>3</v>
      </c>
      <c r="F58" s="33">
        <f t="shared" si="3"/>
        <v>599.82485114346605</v>
      </c>
      <c r="G58" s="5">
        <v>600</v>
      </c>
    </row>
    <row r="59" spans="1:7" ht="30" x14ac:dyDescent="0.25">
      <c r="A59" s="182" t="s">
        <v>76</v>
      </c>
      <c r="B59" s="182" t="s">
        <v>14</v>
      </c>
      <c r="C59" s="5" t="s">
        <v>84</v>
      </c>
      <c r="D59" s="5" t="s">
        <v>85</v>
      </c>
      <c r="E59" s="16">
        <v>7</v>
      </c>
      <c r="F59" s="33">
        <f>E59*10000/50.0146</f>
        <v>1399.5913193347542</v>
      </c>
      <c r="G59" s="16">
        <v>1400</v>
      </c>
    </row>
    <row r="60" spans="1:7" x14ac:dyDescent="0.25">
      <c r="A60" s="182"/>
      <c r="B60" s="182"/>
      <c r="C60" s="16" t="s">
        <v>7</v>
      </c>
      <c r="D60" s="5" t="s">
        <v>8</v>
      </c>
      <c r="E60" s="16">
        <v>4</v>
      </c>
      <c r="F60" s="33">
        <f>E60*10000/50.0146</f>
        <v>799.76646819128814</v>
      </c>
      <c r="G60" s="16">
        <v>800</v>
      </c>
    </row>
    <row r="61" spans="1:7" x14ac:dyDescent="0.25">
      <c r="A61" s="182"/>
      <c r="B61" s="182"/>
      <c r="C61" s="16" t="s">
        <v>9</v>
      </c>
      <c r="D61" s="5" t="s">
        <v>10</v>
      </c>
      <c r="E61" s="16">
        <v>9</v>
      </c>
      <c r="F61" s="33">
        <f>E61*10000/50.0146</f>
        <v>1799.4745534303984</v>
      </c>
      <c r="G61" s="16">
        <v>1799</v>
      </c>
    </row>
    <row r="62" spans="1:7" x14ac:dyDescent="0.25">
      <c r="A62" s="182"/>
      <c r="B62" s="182"/>
      <c r="C62" s="16" t="s">
        <v>82</v>
      </c>
      <c r="D62" s="5" t="s">
        <v>83</v>
      </c>
      <c r="E62" s="16">
        <v>5</v>
      </c>
      <c r="F62" s="33">
        <f>E62*10000/50.0146</f>
        <v>999.70808523911012</v>
      </c>
      <c r="G62" s="16">
        <v>1000</v>
      </c>
    </row>
    <row r="63" spans="1:7" x14ac:dyDescent="0.25">
      <c r="A63" s="182" t="s">
        <v>91</v>
      </c>
      <c r="B63" s="182" t="s">
        <v>6</v>
      </c>
      <c r="C63" s="5" t="s">
        <v>18</v>
      </c>
      <c r="D63" s="5" t="s">
        <v>35</v>
      </c>
      <c r="E63" s="5">
        <v>5</v>
      </c>
      <c r="F63" s="33">
        <f t="shared" ref="F63:F73" si="4">E63*10000/50.0146</f>
        <v>999.70808523911012</v>
      </c>
      <c r="G63" s="5">
        <v>1000</v>
      </c>
    </row>
    <row r="64" spans="1:7" x14ac:dyDescent="0.25">
      <c r="A64" s="182"/>
      <c r="B64" s="182"/>
      <c r="C64" s="5" t="s">
        <v>97</v>
      </c>
      <c r="D64" s="5" t="s">
        <v>98</v>
      </c>
      <c r="E64" s="5">
        <v>2</v>
      </c>
      <c r="F64" s="33">
        <f t="shared" si="4"/>
        <v>399.88323409564407</v>
      </c>
      <c r="G64" s="5">
        <v>400</v>
      </c>
    </row>
    <row r="65" spans="1:7" x14ac:dyDescent="0.25">
      <c r="A65" s="182"/>
      <c r="B65" s="182"/>
      <c r="C65" s="5" t="s">
        <v>61</v>
      </c>
      <c r="D65" s="5" t="s">
        <v>62</v>
      </c>
      <c r="E65" s="5">
        <v>2</v>
      </c>
      <c r="F65" s="33">
        <f t="shared" si="4"/>
        <v>399.88323409564407</v>
      </c>
      <c r="G65" s="5">
        <v>400</v>
      </c>
    </row>
    <row r="66" spans="1:7" x14ac:dyDescent="0.25">
      <c r="A66" s="182"/>
      <c r="B66" s="182" t="s">
        <v>14</v>
      </c>
      <c r="C66" s="5" t="s">
        <v>50</v>
      </c>
      <c r="D66" s="5" t="s">
        <v>51</v>
      </c>
      <c r="E66" s="5">
        <v>7</v>
      </c>
      <c r="F66" s="33">
        <f t="shared" si="4"/>
        <v>1399.5913193347542</v>
      </c>
      <c r="G66" s="5">
        <v>1400</v>
      </c>
    </row>
    <row r="67" spans="1:7" x14ac:dyDescent="0.25">
      <c r="A67" s="182"/>
      <c r="B67" s="182"/>
      <c r="C67" s="5" t="s">
        <v>53</v>
      </c>
      <c r="D67" s="5" t="s">
        <v>54</v>
      </c>
      <c r="E67" s="5">
        <v>3</v>
      </c>
      <c r="F67" s="33">
        <f t="shared" si="4"/>
        <v>599.82485114346605</v>
      </c>
      <c r="G67" s="5">
        <v>600</v>
      </c>
    </row>
    <row r="68" spans="1:7" x14ac:dyDescent="0.25">
      <c r="A68" s="182"/>
      <c r="B68" s="182"/>
      <c r="C68" s="5" t="s">
        <v>9</v>
      </c>
      <c r="D68" s="5" t="s">
        <v>10</v>
      </c>
      <c r="E68" s="5">
        <v>2</v>
      </c>
      <c r="F68" s="33">
        <f t="shared" si="4"/>
        <v>399.88323409564407</v>
      </c>
      <c r="G68" s="5">
        <v>400</v>
      </c>
    </row>
    <row r="69" spans="1:7" x14ac:dyDescent="0.25">
      <c r="A69" s="182"/>
      <c r="B69" s="182"/>
      <c r="C69" s="5" t="s">
        <v>99</v>
      </c>
      <c r="D69" s="5" t="s">
        <v>100</v>
      </c>
      <c r="E69" s="5">
        <v>5</v>
      </c>
      <c r="F69" s="33">
        <f t="shared" si="4"/>
        <v>999.70808523911012</v>
      </c>
      <c r="G69" s="5">
        <v>1000</v>
      </c>
    </row>
    <row r="70" spans="1:7" x14ac:dyDescent="0.25">
      <c r="A70" s="182"/>
      <c r="B70" s="182" t="s">
        <v>15</v>
      </c>
      <c r="C70" s="5" t="s">
        <v>50</v>
      </c>
      <c r="D70" s="5" t="s">
        <v>51</v>
      </c>
      <c r="E70" s="5">
        <v>5</v>
      </c>
      <c r="F70" s="33">
        <f t="shared" si="4"/>
        <v>999.70808523911012</v>
      </c>
      <c r="G70" s="5">
        <v>1000</v>
      </c>
    </row>
    <row r="71" spans="1:7" x14ac:dyDescent="0.25">
      <c r="A71" s="182"/>
      <c r="B71" s="182"/>
      <c r="C71" s="5" t="s">
        <v>101</v>
      </c>
      <c r="D71" s="5" t="s">
        <v>102</v>
      </c>
      <c r="E71" s="5">
        <v>5</v>
      </c>
      <c r="F71" s="33">
        <f t="shared" si="4"/>
        <v>999.70808523911012</v>
      </c>
      <c r="G71" s="5">
        <v>1000</v>
      </c>
    </row>
    <row r="72" spans="1:7" x14ac:dyDescent="0.25">
      <c r="A72" s="182"/>
      <c r="B72" s="182"/>
      <c r="C72" s="5" t="s">
        <v>9</v>
      </c>
      <c r="D72" s="5" t="s">
        <v>10</v>
      </c>
      <c r="E72" s="5">
        <v>3</v>
      </c>
      <c r="F72" s="33">
        <f t="shared" si="4"/>
        <v>599.82485114346605</v>
      </c>
      <c r="G72" s="5">
        <v>600</v>
      </c>
    </row>
    <row r="73" spans="1:7" x14ac:dyDescent="0.25">
      <c r="A73" s="182"/>
      <c r="B73" s="182"/>
      <c r="C73" s="5" t="s">
        <v>99</v>
      </c>
      <c r="D73" s="5" t="s">
        <v>100</v>
      </c>
      <c r="E73" s="5">
        <v>3</v>
      </c>
      <c r="F73" s="33">
        <f t="shared" si="4"/>
        <v>599.82485114346605</v>
      </c>
      <c r="G73" s="5">
        <v>600</v>
      </c>
    </row>
    <row r="74" spans="1:7" ht="30" x14ac:dyDescent="0.25">
      <c r="A74" s="182" t="s">
        <v>86</v>
      </c>
      <c r="B74" s="182" t="s">
        <v>11</v>
      </c>
      <c r="C74" s="5" t="s">
        <v>84</v>
      </c>
      <c r="D74" s="5" t="s">
        <v>85</v>
      </c>
      <c r="E74" s="5">
        <v>3</v>
      </c>
      <c r="F74" s="33">
        <f t="shared" ref="F74:F82" si="5">E74*10000/50.0146</f>
        <v>599.82485114346605</v>
      </c>
      <c r="G74" s="16">
        <v>600</v>
      </c>
    </row>
    <row r="75" spans="1:7" x14ac:dyDescent="0.25">
      <c r="A75" s="182"/>
      <c r="B75" s="182"/>
      <c r="C75" s="5" t="s">
        <v>87</v>
      </c>
      <c r="D75" s="5" t="s">
        <v>71</v>
      </c>
      <c r="E75" s="5">
        <v>2</v>
      </c>
      <c r="F75" s="33">
        <f t="shared" si="5"/>
        <v>399.88323409564407</v>
      </c>
      <c r="G75" s="16">
        <v>400</v>
      </c>
    </row>
    <row r="76" spans="1:7" x14ac:dyDescent="0.25">
      <c r="A76" s="182"/>
      <c r="B76" s="182"/>
      <c r="C76" s="5" t="s">
        <v>55</v>
      </c>
      <c r="D76" s="5" t="s">
        <v>56</v>
      </c>
      <c r="E76" s="5">
        <v>3</v>
      </c>
      <c r="F76" s="33">
        <f t="shared" si="5"/>
        <v>599.82485114346605</v>
      </c>
      <c r="G76" s="16">
        <v>600</v>
      </c>
    </row>
    <row r="77" spans="1:7" x14ac:dyDescent="0.25">
      <c r="A77" s="182" t="s">
        <v>88</v>
      </c>
      <c r="B77" s="182" t="s">
        <v>6</v>
      </c>
      <c r="C77" s="16" t="s">
        <v>18</v>
      </c>
      <c r="D77" s="5" t="s">
        <v>35</v>
      </c>
      <c r="E77" s="16">
        <v>4</v>
      </c>
      <c r="F77" s="33">
        <f t="shared" si="5"/>
        <v>799.76646819128814</v>
      </c>
      <c r="G77" s="16">
        <v>800</v>
      </c>
    </row>
    <row r="78" spans="1:7" x14ac:dyDescent="0.25">
      <c r="A78" s="182"/>
      <c r="B78" s="182"/>
      <c r="C78" s="16" t="s">
        <v>7</v>
      </c>
      <c r="D78" s="5" t="s">
        <v>8</v>
      </c>
      <c r="E78" s="16">
        <v>4</v>
      </c>
      <c r="F78" s="33">
        <f t="shared" si="5"/>
        <v>799.76646819128814</v>
      </c>
      <c r="G78" s="16">
        <v>800</v>
      </c>
    </row>
    <row r="79" spans="1:7" x14ac:dyDescent="0.25">
      <c r="A79" s="182"/>
      <c r="B79" s="182" t="s">
        <v>11</v>
      </c>
      <c r="C79" s="5" t="s">
        <v>18</v>
      </c>
      <c r="D79" s="5" t="s">
        <v>35</v>
      </c>
      <c r="E79" s="5">
        <v>5</v>
      </c>
      <c r="F79" s="33">
        <f t="shared" si="5"/>
        <v>999.70808523911012</v>
      </c>
      <c r="G79" s="16">
        <v>1000</v>
      </c>
    </row>
    <row r="80" spans="1:7" x14ac:dyDescent="0.25">
      <c r="A80" s="182"/>
      <c r="B80" s="182"/>
      <c r="C80" s="5" t="s">
        <v>53</v>
      </c>
      <c r="D80" s="5" t="s">
        <v>54</v>
      </c>
      <c r="E80" s="5">
        <v>2</v>
      </c>
      <c r="F80" s="33">
        <f t="shared" si="5"/>
        <v>399.88323409564407</v>
      </c>
      <c r="G80" s="16">
        <v>400</v>
      </c>
    </row>
    <row r="81" spans="1:7" x14ac:dyDescent="0.25">
      <c r="A81" s="182"/>
      <c r="B81" s="182"/>
      <c r="C81" s="5" t="s">
        <v>12</v>
      </c>
      <c r="D81" s="5" t="s">
        <v>13</v>
      </c>
      <c r="E81" s="5">
        <v>4</v>
      </c>
      <c r="F81" s="33">
        <f t="shared" si="5"/>
        <v>799.76646819128814</v>
      </c>
      <c r="G81" s="16">
        <v>800</v>
      </c>
    </row>
    <row r="82" spans="1:7" x14ac:dyDescent="0.25">
      <c r="A82" s="182"/>
      <c r="B82" s="182"/>
      <c r="C82" s="5" t="s">
        <v>89</v>
      </c>
      <c r="D82" s="5" t="s">
        <v>90</v>
      </c>
      <c r="E82" s="5">
        <v>3</v>
      </c>
      <c r="F82" s="33">
        <f t="shared" si="5"/>
        <v>599.82485114346605</v>
      </c>
      <c r="G82" s="16">
        <v>600</v>
      </c>
    </row>
  </sheetData>
  <autoFilter ref="A1:G82"/>
  <mergeCells count="31">
    <mergeCell ref="A20:A32"/>
    <mergeCell ref="B20:B25"/>
    <mergeCell ref="B26:B28"/>
    <mergeCell ref="B29:B32"/>
    <mergeCell ref="A2:A19"/>
    <mergeCell ref="B2:B7"/>
    <mergeCell ref="B8:B9"/>
    <mergeCell ref="B10:B14"/>
    <mergeCell ref="B15:B19"/>
    <mergeCell ref="A33:A40"/>
    <mergeCell ref="B33:B36"/>
    <mergeCell ref="B37:B40"/>
    <mergeCell ref="A41:A49"/>
    <mergeCell ref="B41:B45"/>
    <mergeCell ref="B46:B47"/>
    <mergeCell ref="B48:B49"/>
    <mergeCell ref="A74:A76"/>
    <mergeCell ref="B74:B76"/>
    <mergeCell ref="A77:A82"/>
    <mergeCell ref="B77:B78"/>
    <mergeCell ref="B79:B82"/>
    <mergeCell ref="A50:A58"/>
    <mergeCell ref="B50:B52"/>
    <mergeCell ref="B53:B55"/>
    <mergeCell ref="B56:B58"/>
    <mergeCell ref="A63:A73"/>
    <mergeCell ref="B63:B65"/>
    <mergeCell ref="B66:B69"/>
    <mergeCell ref="B70:B73"/>
    <mergeCell ref="A59:A62"/>
    <mergeCell ref="B59:B6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selection activeCell="C4" sqref="C4"/>
    </sheetView>
  </sheetViews>
  <sheetFormatPr defaultRowHeight="15" x14ac:dyDescent="0.25"/>
  <cols>
    <col min="1" max="1" width="5.85546875" customWidth="1"/>
    <col min="2" max="2" width="27" bestFit="1" customWidth="1"/>
    <col min="3" max="3" width="14.7109375" customWidth="1"/>
    <col min="4" max="4" width="13.42578125" bestFit="1" customWidth="1"/>
    <col min="5" max="6" width="13.42578125" customWidth="1"/>
    <col min="7" max="7" width="14.140625" bestFit="1" customWidth="1"/>
    <col min="8" max="8" width="16" bestFit="1" customWidth="1"/>
    <col min="9" max="9" width="21.42578125" bestFit="1" customWidth="1"/>
    <col min="10" max="10" width="19.7109375" bestFit="1" customWidth="1"/>
    <col min="11" max="11" width="24.85546875" bestFit="1" customWidth="1"/>
    <col min="12" max="12" width="11.42578125" bestFit="1" customWidth="1"/>
    <col min="14" max="15" width="9" bestFit="1" customWidth="1"/>
  </cols>
  <sheetData>
    <row r="1" spans="1:12" ht="75" x14ac:dyDescent="0.25">
      <c r="A1" t="s">
        <v>164</v>
      </c>
      <c r="B1" s="41" t="s">
        <v>143</v>
      </c>
      <c r="C1" s="41" t="s">
        <v>144</v>
      </c>
      <c r="D1" s="41" t="s">
        <v>145</v>
      </c>
      <c r="E1" s="160" t="s">
        <v>205</v>
      </c>
      <c r="F1" s="160" t="s">
        <v>204</v>
      </c>
      <c r="G1" s="42" t="s">
        <v>152</v>
      </c>
      <c r="H1" s="42" t="s">
        <v>155</v>
      </c>
      <c r="I1" s="46" t="s">
        <v>156</v>
      </c>
      <c r="J1" s="49" t="s">
        <v>153</v>
      </c>
      <c r="K1" s="49" t="s">
        <v>158</v>
      </c>
      <c r="L1" s="51" t="s">
        <v>154</v>
      </c>
    </row>
    <row r="2" spans="1:12" x14ac:dyDescent="0.25">
      <c r="A2" s="16">
        <v>1</v>
      </c>
      <c r="B2" s="40" t="s">
        <v>35</v>
      </c>
      <c r="C2" s="40">
        <v>4</v>
      </c>
      <c r="D2" s="77">
        <f>'7. All Regen data'!F37+'7. All Regen data'!F63+'7. All Regen data'!F77+'7. All Regen data'!F79</f>
        <v>2999.1242557173305</v>
      </c>
      <c r="E2" s="125">
        <f>D2/$C$32</f>
        <v>136.32382980533319</v>
      </c>
      <c r="F2" s="77">
        <f>E2/$E$32*100</f>
        <v>3.9164490861618808</v>
      </c>
      <c r="G2" s="43">
        <f>C2/$C$32</f>
        <v>0.18181818181818182</v>
      </c>
      <c r="H2" s="43">
        <f>G2/$G$32*100</f>
        <v>4.9382716049382731</v>
      </c>
      <c r="I2" s="47">
        <f>D2/$D$32*100</f>
        <v>3.9164490861618808</v>
      </c>
      <c r="J2" s="50">
        <f>D2/C2</f>
        <v>749.78106392933262</v>
      </c>
      <c r="K2" s="50">
        <f>J2/$J$32*100</f>
        <v>3.503763301323644</v>
      </c>
      <c r="L2" s="52">
        <f>H2+I2+K2</f>
        <v>12.358483992423798</v>
      </c>
    </row>
    <row r="3" spans="1:12" x14ac:dyDescent="0.25">
      <c r="A3" s="16">
        <v>2</v>
      </c>
      <c r="B3" s="40" t="s">
        <v>98</v>
      </c>
      <c r="C3" s="40">
        <v>1</v>
      </c>
      <c r="D3" s="77">
        <f>'7. All Regen data'!F64</f>
        <v>399.88323409564407</v>
      </c>
      <c r="E3" s="125">
        <f t="shared" ref="E3:E31" si="0">D3/$C$32</f>
        <v>18.176510640711093</v>
      </c>
      <c r="F3" s="77">
        <f t="shared" ref="F3:F31" si="1">E3/$E$32*100</f>
        <v>0.52219321148825071</v>
      </c>
      <c r="G3" s="43">
        <f t="shared" ref="G3:G31" si="2">C3/$C$32</f>
        <v>4.5454545454545456E-2</v>
      </c>
      <c r="H3" s="43">
        <f t="shared" ref="H3:H31" si="3">G3/$G$32*100</f>
        <v>1.2345679012345683</v>
      </c>
      <c r="I3" s="47">
        <f t="shared" ref="I3:I31" si="4">D3/$D$32*100</f>
        <v>0.52219321148825082</v>
      </c>
      <c r="J3" s="50">
        <f t="shared" ref="J3:J31" si="5">D3/C3</f>
        <v>399.88323409564407</v>
      </c>
      <c r="K3" s="50">
        <f t="shared" ref="K3:K31" si="6">J3/$J$32*100</f>
        <v>1.8686737607059436</v>
      </c>
      <c r="L3" s="52">
        <f t="shared" ref="L3:L31" si="7">H3+I3+K3</f>
        <v>3.6254348734287625</v>
      </c>
    </row>
    <row r="4" spans="1:12" x14ac:dyDescent="0.25">
      <c r="A4" s="16">
        <v>3</v>
      </c>
      <c r="B4" s="40" t="s">
        <v>47</v>
      </c>
      <c r="C4" s="40">
        <v>1</v>
      </c>
      <c r="D4" s="77">
        <f>'7. All Regen data'!F13</f>
        <v>199.94161704782204</v>
      </c>
      <c r="E4" s="125">
        <f t="shared" si="0"/>
        <v>9.0882553203555467</v>
      </c>
      <c r="F4" s="77">
        <f t="shared" si="1"/>
        <v>0.26109660574412535</v>
      </c>
      <c r="G4" s="43">
        <f t="shared" si="2"/>
        <v>4.5454545454545456E-2</v>
      </c>
      <c r="H4" s="43">
        <f t="shared" si="3"/>
        <v>1.2345679012345683</v>
      </c>
      <c r="I4" s="47">
        <f t="shared" si="4"/>
        <v>0.26109660574412541</v>
      </c>
      <c r="J4" s="50">
        <f t="shared" si="5"/>
        <v>199.94161704782204</v>
      </c>
      <c r="K4" s="50">
        <f t="shared" si="6"/>
        <v>0.9343368803529718</v>
      </c>
      <c r="L4" s="52">
        <f t="shared" si="7"/>
        <v>2.4300013873316657</v>
      </c>
    </row>
    <row r="5" spans="1:12" x14ac:dyDescent="0.25">
      <c r="A5" s="16">
        <v>4</v>
      </c>
      <c r="B5" s="40" t="s">
        <v>75</v>
      </c>
      <c r="C5" s="40">
        <v>1</v>
      </c>
      <c r="D5" s="77">
        <f>'7. All Regen data'!F49</f>
        <v>199.94161704782204</v>
      </c>
      <c r="E5" s="125">
        <f t="shared" si="0"/>
        <v>9.0882553203555467</v>
      </c>
      <c r="F5" s="77">
        <f t="shared" si="1"/>
        <v>0.26109660574412535</v>
      </c>
      <c r="G5" s="43">
        <f t="shared" si="2"/>
        <v>4.5454545454545456E-2</v>
      </c>
      <c r="H5" s="43">
        <f t="shared" si="3"/>
        <v>1.2345679012345683</v>
      </c>
      <c r="I5" s="47">
        <f t="shared" si="4"/>
        <v>0.26109660574412541</v>
      </c>
      <c r="J5" s="50">
        <f t="shared" si="5"/>
        <v>199.94161704782204</v>
      </c>
      <c r="K5" s="50">
        <f t="shared" si="6"/>
        <v>0.9343368803529718</v>
      </c>
      <c r="L5" s="52">
        <f t="shared" si="7"/>
        <v>2.4300013873316657</v>
      </c>
    </row>
    <row r="6" spans="1:12" x14ac:dyDescent="0.25">
      <c r="A6" s="16">
        <v>5</v>
      </c>
      <c r="B6" s="40" t="s">
        <v>68</v>
      </c>
      <c r="C6" s="40">
        <v>1</v>
      </c>
      <c r="D6" s="77">
        <f>'7. All Regen data'!F42</f>
        <v>199.94161704782204</v>
      </c>
      <c r="E6" s="125">
        <f t="shared" si="0"/>
        <v>9.0882553203555467</v>
      </c>
      <c r="F6" s="77">
        <f t="shared" si="1"/>
        <v>0.26109660574412535</v>
      </c>
      <c r="G6" s="43">
        <f t="shared" si="2"/>
        <v>4.5454545454545456E-2</v>
      </c>
      <c r="H6" s="43">
        <f t="shared" si="3"/>
        <v>1.2345679012345683</v>
      </c>
      <c r="I6" s="47">
        <f t="shared" si="4"/>
        <v>0.26109660574412541</v>
      </c>
      <c r="J6" s="50">
        <f t="shared" si="5"/>
        <v>199.94161704782204</v>
      </c>
      <c r="K6" s="50">
        <f t="shared" si="6"/>
        <v>0.9343368803529718</v>
      </c>
      <c r="L6" s="52">
        <f t="shared" si="7"/>
        <v>2.4300013873316657</v>
      </c>
    </row>
    <row r="7" spans="1:12" x14ac:dyDescent="0.25">
      <c r="A7" s="16">
        <v>6</v>
      </c>
      <c r="B7" s="40" t="s">
        <v>41</v>
      </c>
      <c r="C7" s="40">
        <v>6</v>
      </c>
      <c r="D7" s="77">
        <f>'7. All Regen data'!F5+'7. All Regen data'!F18+'7. All Regen data'!F35+'7. All Regen data'!F40+'7. All Regen data'!F44+'7. All Regen data'!F47</f>
        <v>9197.3143841998135</v>
      </c>
      <c r="E7" s="125">
        <f t="shared" si="0"/>
        <v>418.05974473635519</v>
      </c>
      <c r="F7" s="161">
        <f t="shared" si="1"/>
        <v>12.010443864229769</v>
      </c>
      <c r="G7" s="43">
        <f t="shared" si="2"/>
        <v>0.27272727272727271</v>
      </c>
      <c r="H7" s="43">
        <f t="shared" si="3"/>
        <v>7.4074074074074083</v>
      </c>
      <c r="I7" s="47">
        <f t="shared" si="4"/>
        <v>12.010443864229767</v>
      </c>
      <c r="J7" s="50">
        <f t="shared" si="5"/>
        <v>1532.8857306999689</v>
      </c>
      <c r="K7" s="50">
        <f t="shared" si="6"/>
        <v>7.1632494160394504</v>
      </c>
      <c r="L7" s="161">
        <f t="shared" si="7"/>
        <v>26.581100687676624</v>
      </c>
    </row>
    <row r="8" spans="1:12" x14ac:dyDescent="0.25">
      <c r="A8" s="16">
        <v>7</v>
      </c>
      <c r="B8" s="40" t="s">
        <v>51</v>
      </c>
      <c r="C8" s="40">
        <v>3</v>
      </c>
      <c r="D8" s="77">
        <f>'7. All Regen data'!F15+'7. All Regen data'!F66+'7. All Regen data'!F70</f>
        <v>6598.0733625781268</v>
      </c>
      <c r="E8" s="125">
        <f t="shared" si="0"/>
        <v>299.91242557173302</v>
      </c>
      <c r="F8" s="161">
        <f t="shared" si="1"/>
        <v>8.6161879895561366</v>
      </c>
      <c r="G8" s="43">
        <f t="shared" si="2"/>
        <v>0.13636363636363635</v>
      </c>
      <c r="H8" s="43">
        <f t="shared" si="3"/>
        <v>3.7037037037037042</v>
      </c>
      <c r="I8" s="47">
        <f t="shared" si="4"/>
        <v>8.6161879895561366</v>
      </c>
      <c r="J8" s="50">
        <f t="shared" si="5"/>
        <v>2199.3577875260421</v>
      </c>
      <c r="K8" s="50">
        <f t="shared" si="6"/>
        <v>10.277705683882688</v>
      </c>
      <c r="L8" s="161">
        <f t="shared" si="7"/>
        <v>22.597597377142527</v>
      </c>
    </row>
    <row r="9" spans="1:12" x14ac:dyDescent="0.25">
      <c r="A9" s="16">
        <v>8</v>
      </c>
      <c r="B9" s="40" t="s">
        <v>71</v>
      </c>
      <c r="C9" s="40">
        <v>2</v>
      </c>
      <c r="D9" s="77">
        <f>'7. All Regen data'!F46+'7. All Regen data'!F75</f>
        <v>599.82485114346605</v>
      </c>
      <c r="E9" s="125">
        <f t="shared" si="0"/>
        <v>27.26476596106664</v>
      </c>
      <c r="F9" s="77">
        <f t="shared" si="1"/>
        <v>0.78328981723237623</v>
      </c>
      <c r="G9" s="43">
        <f t="shared" si="2"/>
        <v>9.0909090909090912E-2</v>
      </c>
      <c r="H9" s="43">
        <f t="shared" si="3"/>
        <v>2.4691358024691366</v>
      </c>
      <c r="I9" s="47">
        <f t="shared" si="4"/>
        <v>0.78328981723237612</v>
      </c>
      <c r="J9" s="50">
        <f t="shared" si="5"/>
        <v>299.91242557173302</v>
      </c>
      <c r="K9" s="50">
        <f t="shared" si="6"/>
        <v>1.4015053205294576</v>
      </c>
      <c r="L9" s="52">
        <f t="shared" si="7"/>
        <v>4.6539309402309703</v>
      </c>
    </row>
    <row r="10" spans="1:12" x14ac:dyDescent="0.25">
      <c r="A10" s="16">
        <v>9</v>
      </c>
      <c r="B10" s="40" t="s">
        <v>95</v>
      </c>
      <c r="C10" s="40">
        <v>1</v>
      </c>
      <c r="D10" s="77">
        <f>'7. All Regen data'!F38</f>
        <v>199.94161704782204</v>
      </c>
      <c r="E10" s="125">
        <f t="shared" si="0"/>
        <v>9.0882553203555467</v>
      </c>
      <c r="F10" s="77">
        <f t="shared" si="1"/>
        <v>0.26109660574412535</v>
      </c>
      <c r="G10" s="43">
        <f t="shared" si="2"/>
        <v>4.5454545454545456E-2</v>
      </c>
      <c r="H10" s="43">
        <f t="shared" si="3"/>
        <v>1.2345679012345683</v>
      </c>
      <c r="I10" s="47">
        <f t="shared" si="4"/>
        <v>0.26109660574412541</v>
      </c>
      <c r="J10" s="50">
        <f t="shared" si="5"/>
        <v>199.94161704782204</v>
      </c>
      <c r="K10" s="50">
        <f t="shared" si="6"/>
        <v>0.9343368803529718</v>
      </c>
      <c r="L10" s="52">
        <f t="shared" si="7"/>
        <v>2.4300013873316657</v>
      </c>
    </row>
    <row r="11" spans="1:12" x14ac:dyDescent="0.25">
      <c r="A11" s="16">
        <v>10</v>
      </c>
      <c r="B11" s="40" t="s">
        <v>102</v>
      </c>
      <c r="C11" s="40">
        <v>1</v>
      </c>
      <c r="D11" s="77">
        <f>'7. All Regen data'!F71</f>
        <v>999.70808523911012</v>
      </c>
      <c r="E11" s="125">
        <f t="shared" si="0"/>
        <v>45.44127660177773</v>
      </c>
      <c r="F11" s="77">
        <f t="shared" si="1"/>
        <v>1.3054830287206269</v>
      </c>
      <c r="G11" s="43">
        <f t="shared" si="2"/>
        <v>4.5454545454545456E-2</v>
      </c>
      <c r="H11" s="43">
        <f t="shared" si="3"/>
        <v>1.2345679012345683</v>
      </c>
      <c r="I11" s="47">
        <f t="shared" si="4"/>
        <v>1.3054830287206269</v>
      </c>
      <c r="J11" s="50">
        <f t="shared" si="5"/>
        <v>999.70808523911012</v>
      </c>
      <c r="K11" s="50">
        <f t="shared" si="6"/>
        <v>4.6716844017648587</v>
      </c>
      <c r="L11" s="52">
        <f t="shared" si="7"/>
        <v>7.2117353317200541</v>
      </c>
    </row>
    <row r="12" spans="1:12" x14ac:dyDescent="0.25">
      <c r="A12" s="16">
        <v>11</v>
      </c>
      <c r="B12" s="40" t="s">
        <v>64</v>
      </c>
      <c r="C12" s="40">
        <v>1</v>
      </c>
      <c r="D12" s="77">
        <f>'7. All Regen data'!F36</f>
        <v>199.94161704782204</v>
      </c>
      <c r="E12" s="125">
        <f t="shared" si="0"/>
        <v>9.0882553203555467</v>
      </c>
      <c r="F12" s="77">
        <f t="shared" si="1"/>
        <v>0.26109660574412535</v>
      </c>
      <c r="G12" s="43">
        <f t="shared" si="2"/>
        <v>4.5454545454545456E-2</v>
      </c>
      <c r="H12" s="43">
        <f t="shared" si="3"/>
        <v>1.2345679012345683</v>
      </c>
      <c r="I12" s="47">
        <f t="shared" si="4"/>
        <v>0.26109660574412541</v>
      </c>
      <c r="J12" s="50">
        <f t="shared" si="5"/>
        <v>199.94161704782204</v>
      </c>
      <c r="K12" s="50">
        <f t="shared" si="6"/>
        <v>0.9343368803529718</v>
      </c>
      <c r="L12" s="52">
        <f t="shared" si="7"/>
        <v>2.4300013873316657</v>
      </c>
    </row>
    <row r="13" spans="1:12" x14ac:dyDescent="0.25">
      <c r="A13" s="16">
        <v>12</v>
      </c>
      <c r="B13" s="40" t="s">
        <v>73</v>
      </c>
      <c r="C13" s="40">
        <v>1</v>
      </c>
      <c r="D13" s="77">
        <f>'7. All Regen data'!F48</f>
        <v>199.94161704782204</v>
      </c>
      <c r="E13" s="125">
        <f t="shared" si="0"/>
        <v>9.0882553203555467</v>
      </c>
      <c r="F13" s="77">
        <f t="shared" si="1"/>
        <v>0.26109660574412535</v>
      </c>
      <c r="G13" s="43">
        <f t="shared" si="2"/>
        <v>4.5454545454545456E-2</v>
      </c>
      <c r="H13" s="43">
        <f t="shared" si="3"/>
        <v>1.2345679012345683</v>
      </c>
      <c r="I13" s="47">
        <f t="shared" si="4"/>
        <v>0.26109660574412541</v>
      </c>
      <c r="J13" s="50">
        <f t="shared" si="5"/>
        <v>199.94161704782204</v>
      </c>
      <c r="K13" s="50">
        <f t="shared" si="6"/>
        <v>0.9343368803529718</v>
      </c>
      <c r="L13" s="52">
        <f t="shared" si="7"/>
        <v>2.4300013873316657</v>
      </c>
    </row>
    <row r="14" spans="1:12" x14ac:dyDescent="0.25">
      <c r="A14" s="16">
        <v>13</v>
      </c>
      <c r="B14" s="40" t="s">
        <v>17</v>
      </c>
      <c r="C14" s="40">
        <v>1</v>
      </c>
      <c r="D14" s="77">
        <f>'7. All Regen data'!F19</f>
        <v>399.88323409564407</v>
      </c>
      <c r="E14" s="125">
        <f t="shared" si="0"/>
        <v>18.176510640711093</v>
      </c>
      <c r="F14" s="77">
        <f t="shared" si="1"/>
        <v>0.52219321148825071</v>
      </c>
      <c r="G14" s="43">
        <f t="shared" si="2"/>
        <v>4.5454545454545456E-2</v>
      </c>
      <c r="H14" s="43">
        <f t="shared" si="3"/>
        <v>1.2345679012345683</v>
      </c>
      <c r="I14" s="47">
        <f t="shared" si="4"/>
        <v>0.52219321148825082</v>
      </c>
      <c r="J14" s="50">
        <f t="shared" si="5"/>
        <v>399.88323409564407</v>
      </c>
      <c r="K14" s="50">
        <f t="shared" si="6"/>
        <v>1.8686737607059436</v>
      </c>
      <c r="L14" s="52">
        <f t="shared" si="7"/>
        <v>3.6254348734287625</v>
      </c>
    </row>
    <row r="15" spans="1:12" x14ac:dyDescent="0.25">
      <c r="A15" s="16">
        <v>14</v>
      </c>
      <c r="B15" s="40" t="s">
        <v>8</v>
      </c>
      <c r="C15" s="40">
        <v>9</v>
      </c>
      <c r="D15" s="77">
        <f>'7. All Regen data'!F3+'7. All Regen data'!F9+'7. All Regen data'!F12+'7. All Regen data'!F17+'7. All Regen data'!F33+'7. All Regen data'!F51+'7. All Regen data'!F54+'7. All Regen data'!F60+'7. All Regen data'!F78</f>
        <v>14595.738044491009</v>
      </c>
      <c r="E15" s="125">
        <f t="shared" si="0"/>
        <v>663.44263838595498</v>
      </c>
      <c r="F15" s="161">
        <f t="shared" si="1"/>
        <v>19.060052219321154</v>
      </c>
      <c r="G15" s="43">
        <f t="shared" si="2"/>
        <v>0.40909090909090912</v>
      </c>
      <c r="H15" s="43">
        <f t="shared" si="3"/>
        <v>11.111111111111112</v>
      </c>
      <c r="I15" s="47">
        <f t="shared" si="4"/>
        <v>19.060052219321154</v>
      </c>
      <c r="J15" s="50">
        <f t="shared" si="5"/>
        <v>1621.7486716101121</v>
      </c>
      <c r="K15" s="50">
        <f t="shared" si="6"/>
        <v>7.578510251751883</v>
      </c>
      <c r="L15" s="161">
        <f t="shared" si="7"/>
        <v>37.749673582184144</v>
      </c>
    </row>
    <row r="16" spans="1:12" x14ac:dyDescent="0.25">
      <c r="A16" s="16">
        <v>15</v>
      </c>
      <c r="B16" s="40" t="s">
        <v>90</v>
      </c>
      <c r="C16" s="40">
        <v>1</v>
      </c>
      <c r="D16" s="77">
        <f>'7. All Regen data'!F82</f>
        <v>599.82485114346605</v>
      </c>
      <c r="E16" s="125">
        <f t="shared" si="0"/>
        <v>27.26476596106664</v>
      </c>
      <c r="F16" s="77">
        <f t="shared" si="1"/>
        <v>0.78328981723237623</v>
      </c>
      <c r="G16" s="43">
        <f t="shared" si="2"/>
        <v>4.5454545454545456E-2</v>
      </c>
      <c r="H16" s="43">
        <f t="shared" si="3"/>
        <v>1.2345679012345683</v>
      </c>
      <c r="I16" s="47">
        <f t="shared" si="4"/>
        <v>0.78328981723237612</v>
      </c>
      <c r="J16" s="50">
        <f t="shared" si="5"/>
        <v>599.82485114346605</v>
      </c>
      <c r="K16" s="50">
        <f t="shared" si="6"/>
        <v>2.8030106410589153</v>
      </c>
      <c r="L16" s="52">
        <f t="shared" si="7"/>
        <v>4.8208683595258597</v>
      </c>
    </row>
    <row r="17" spans="1:12" x14ac:dyDescent="0.25">
      <c r="A17" s="16">
        <v>16</v>
      </c>
      <c r="B17" s="40" t="s">
        <v>56</v>
      </c>
      <c r="C17" s="40">
        <v>4</v>
      </c>
      <c r="D17" s="77">
        <f>'7. All Regen data'!F21+'7. All Regen data'!F53+'7. All Regen data'!F57+'7. All Regen data'!F76</f>
        <v>3199.0658727651526</v>
      </c>
      <c r="E17" s="125">
        <f t="shared" si="0"/>
        <v>145.41208512568875</v>
      </c>
      <c r="F17" s="77">
        <f t="shared" si="1"/>
        <v>4.1775456919060057</v>
      </c>
      <c r="G17" s="43">
        <f t="shared" si="2"/>
        <v>0.18181818181818182</v>
      </c>
      <c r="H17" s="43">
        <f t="shared" si="3"/>
        <v>4.9382716049382731</v>
      </c>
      <c r="I17" s="47">
        <f t="shared" si="4"/>
        <v>4.1775456919060066</v>
      </c>
      <c r="J17" s="50">
        <f t="shared" si="5"/>
        <v>799.76646819128814</v>
      </c>
      <c r="K17" s="50">
        <f t="shared" si="6"/>
        <v>3.7373475214118872</v>
      </c>
      <c r="L17" s="52">
        <f t="shared" si="7"/>
        <v>12.853164818256168</v>
      </c>
    </row>
    <row r="18" spans="1:12" x14ac:dyDescent="0.25">
      <c r="A18" s="16">
        <v>17</v>
      </c>
      <c r="B18" s="40" t="s">
        <v>58</v>
      </c>
      <c r="C18" s="40">
        <v>2</v>
      </c>
      <c r="D18" s="77">
        <f>'7. All Regen data'!F22+'7. All Regen data'!F26</f>
        <v>799.76646819128814</v>
      </c>
      <c r="E18" s="125">
        <f t="shared" si="0"/>
        <v>36.353021281422187</v>
      </c>
      <c r="F18" s="77">
        <f t="shared" si="1"/>
        <v>1.0443864229765014</v>
      </c>
      <c r="G18" s="43">
        <f t="shared" si="2"/>
        <v>9.0909090909090912E-2</v>
      </c>
      <c r="H18" s="43">
        <f t="shared" si="3"/>
        <v>2.4691358024691366</v>
      </c>
      <c r="I18" s="47">
        <f t="shared" si="4"/>
        <v>1.0443864229765016</v>
      </c>
      <c r="J18" s="50">
        <f t="shared" si="5"/>
        <v>399.88323409564407</v>
      </c>
      <c r="K18" s="50">
        <f t="shared" si="6"/>
        <v>1.8686737607059436</v>
      </c>
      <c r="L18" s="52">
        <f t="shared" si="7"/>
        <v>5.382195986151582</v>
      </c>
    </row>
    <row r="19" spans="1:12" x14ac:dyDescent="0.25">
      <c r="A19" s="16">
        <v>18</v>
      </c>
      <c r="B19" s="40" t="s">
        <v>43</v>
      </c>
      <c r="C19" s="40">
        <v>1</v>
      </c>
      <c r="D19" s="77">
        <f>'7. All Regen data'!F6</f>
        <v>399.88323409564407</v>
      </c>
      <c r="E19" s="125">
        <f t="shared" si="0"/>
        <v>18.176510640711093</v>
      </c>
      <c r="F19" s="77">
        <f t="shared" si="1"/>
        <v>0.52219321148825071</v>
      </c>
      <c r="G19" s="43">
        <f t="shared" si="2"/>
        <v>4.5454545454545456E-2</v>
      </c>
      <c r="H19" s="43">
        <f t="shared" si="3"/>
        <v>1.2345679012345683</v>
      </c>
      <c r="I19" s="47">
        <f t="shared" si="4"/>
        <v>0.52219321148825082</v>
      </c>
      <c r="J19" s="50">
        <f t="shared" si="5"/>
        <v>399.88323409564407</v>
      </c>
      <c r="K19" s="50">
        <f t="shared" si="6"/>
        <v>1.8686737607059436</v>
      </c>
      <c r="L19" s="52">
        <f t="shared" si="7"/>
        <v>3.6254348734287625</v>
      </c>
    </row>
    <row r="20" spans="1:12" x14ac:dyDescent="0.25">
      <c r="A20" s="16">
        <v>19</v>
      </c>
      <c r="B20" s="40" t="s">
        <v>83</v>
      </c>
      <c r="C20" s="40">
        <v>1</v>
      </c>
      <c r="D20" s="77">
        <f>'7. All Regen data'!F62</f>
        <v>999.70808523911012</v>
      </c>
      <c r="E20" s="125">
        <f t="shared" si="0"/>
        <v>45.44127660177773</v>
      </c>
      <c r="F20" s="77">
        <f t="shared" si="1"/>
        <v>1.3054830287206269</v>
      </c>
      <c r="G20" s="43">
        <f t="shared" si="2"/>
        <v>4.5454545454545456E-2</v>
      </c>
      <c r="H20" s="43">
        <f t="shared" si="3"/>
        <v>1.2345679012345683</v>
      </c>
      <c r="I20" s="47">
        <f t="shared" si="4"/>
        <v>1.3054830287206269</v>
      </c>
      <c r="J20" s="50">
        <f t="shared" si="5"/>
        <v>999.70808523911012</v>
      </c>
      <c r="K20" s="50">
        <f t="shared" si="6"/>
        <v>4.6716844017648587</v>
      </c>
      <c r="L20" s="52">
        <f t="shared" si="7"/>
        <v>7.2117353317200541</v>
      </c>
    </row>
    <row r="21" spans="1:12" x14ac:dyDescent="0.25">
      <c r="A21" s="16">
        <v>20</v>
      </c>
      <c r="B21" s="40" t="s">
        <v>45</v>
      </c>
      <c r="C21" s="40">
        <v>3</v>
      </c>
      <c r="D21" s="77">
        <f>'7. All Regen data'!F7+'7. All Regen data'!F24+'7. All Regen data'!F31</f>
        <v>1799.4745534303981</v>
      </c>
      <c r="E21" s="125">
        <f t="shared" si="0"/>
        <v>81.794297883199917</v>
      </c>
      <c r="F21" s="77">
        <f t="shared" si="1"/>
        <v>2.3498694516971286</v>
      </c>
      <c r="G21" s="43">
        <f t="shared" si="2"/>
        <v>0.13636363636363635</v>
      </c>
      <c r="H21" s="43">
        <f t="shared" si="3"/>
        <v>3.7037037037037042</v>
      </c>
      <c r="I21" s="47">
        <f t="shared" si="4"/>
        <v>2.3498694516971281</v>
      </c>
      <c r="J21" s="50">
        <f t="shared" si="5"/>
        <v>599.82485114346605</v>
      </c>
      <c r="K21" s="50">
        <f t="shared" si="6"/>
        <v>2.8030106410589153</v>
      </c>
      <c r="L21" s="52">
        <f t="shared" si="7"/>
        <v>8.8565837964597467</v>
      </c>
    </row>
    <row r="22" spans="1:12" ht="30" x14ac:dyDescent="0.25">
      <c r="A22" s="16">
        <v>21</v>
      </c>
      <c r="B22" s="40" t="s">
        <v>85</v>
      </c>
      <c r="C22" s="40">
        <v>2</v>
      </c>
      <c r="D22" s="77">
        <f>'7. All Regen data'!F59+'7. All Regen data'!F74</f>
        <v>1999.4161704782202</v>
      </c>
      <c r="E22" s="125">
        <f t="shared" si="0"/>
        <v>90.88255320355546</v>
      </c>
      <c r="F22" s="77">
        <f t="shared" si="1"/>
        <v>2.6109660574412539</v>
      </c>
      <c r="G22" s="43">
        <f t="shared" si="2"/>
        <v>9.0909090909090912E-2</v>
      </c>
      <c r="H22" s="43">
        <f t="shared" si="3"/>
        <v>2.4691358024691366</v>
      </c>
      <c r="I22" s="47">
        <f t="shared" si="4"/>
        <v>2.6109660574412539</v>
      </c>
      <c r="J22" s="50">
        <f t="shared" si="5"/>
        <v>999.70808523911012</v>
      </c>
      <c r="K22" s="50">
        <f t="shared" si="6"/>
        <v>4.6716844017648587</v>
      </c>
      <c r="L22" s="52">
        <f t="shared" si="7"/>
        <v>9.7517862616752495</v>
      </c>
    </row>
    <row r="23" spans="1:12" x14ac:dyDescent="0.25">
      <c r="A23" s="16">
        <v>22</v>
      </c>
      <c r="B23" s="40" t="s">
        <v>54</v>
      </c>
      <c r="C23" s="40">
        <v>7</v>
      </c>
      <c r="D23" s="77">
        <f>'7. All Regen data'!F20+'7. All Regen data'!F29+'7. All Regen data'!F41+'7. All Regen data'!F50+'7. All Regen data'!F56+'7. All Regen data'!F67+'7. All Regen data'!F80</f>
        <v>4998.5404261955509</v>
      </c>
      <c r="E23" s="125">
        <f t="shared" si="0"/>
        <v>227.20638300888868</v>
      </c>
      <c r="F23" s="77">
        <f t="shared" si="1"/>
        <v>6.5274151436031351</v>
      </c>
      <c r="G23" s="43">
        <f t="shared" si="2"/>
        <v>0.31818181818181818</v>
      </c>
      <c r="H23" s="43">
        <f t="shared" si="3"/>
        <v>8.6419753086419764</v>
      </c>
      <c r="I23" s="47">
        <f t="shared" si="4"/>
        <v>6.5274151436031351</v>
      </c>
      <c r="J23" s="50">
        <f t="shared" si="5"/>
        <v>714.07720374222151</v>
      </c>
      <c r="K23" s="50">
        <f t="shared" si="6"/>
        <v>3.3369174298320416</v>
      </c>
      <c r="L23" s="52">
        <f t="shared" si="7"/>
        <v>18.506307882077152</v>
      </c>
    </row>
    <row r="24" spans="1:12" x14ac:dyDescent="0.25">
      <c r="A24" s="16">
        <v>23</v>
      </c>
      <c r="B24" s="40" t="s">
        <v>100</v>
      </c>
      <c r="C24" s="40">
        <v>2</v>
      </c>
      <c r="D24" s="77">
        <f>'7. All Regen data'!F69+'7. All Regen data'!F73</f>
        <v>1599.5329363825763</v>
      </c>
      <c r="E24" s="125">
        <f t="shared" si="0"/>
        <v>72.706042562844374</v>
      </c>
      <c r="F24" s="77">
        <f t="shared" si="1"/>
        <v>2.0887728459530028</v>
      </c>
      <c r="G24" s="43">
        <f t="shared" si="2"/>
        <v>9.0909090909090912E-2</v>
      </c>
      <c r="H24" s="43">
        <f t="shared" si="3"/>
        <v>2.4691358024691366</v>
      </c>
      <c r="I24" s="47">
        <f t="shared" si="4"/>
        <v>2.0887728459530033</v>
      </c>
      <c r="J24" s="50">
        <f t="shared" si="5"/>
        <v>799.76646819128814</v>
      </c>
      <c r="K24" s="50">
        <f t="shared" si="6"/>
        <v>3.7373475214118872</v>
      </c>
      <c r="L24" s="52">
        <f t="shared" si="7"/>
        <v>8.2952561698340279</v>
      </c>
    </row>
    <row r="25" spans="1:12" x14ac:dyDescent="0.25">
      <c r="A25" s="16">
        <v>24</v>
      </c>
      <c r="B25" s="78" t="s">
        <v>60</v>
      </c>
      <c r="C25" s="40">
        <v>5</v>
      </c>
      <c r="D25" s="77">
        <f>'7. All Regen data'!F23+'7. All Regen data'!F27+'7. All Regen data'!F30+'7. All Regen data'!F52+'7. All Regen data'!F55</f>
        <v>2799.1826386695084</v>
      </c>
      <c r="E25" s="125">
        <f t="shared" si="0"/>
        <v>127.23557448497765</v>
      </c>
      <c r="F25" s="77">
        <f t="shared" si="1"/>
        <v>3.6553524804177555</v>
      </c>
      <c r="G25" s="43">
        <f t="shared" si="2"/>
        <v>0.22727272727272727</v>
      </c>
      <c r="H25" s="43">
        <f t="shared" si="3"/>
        <v>6.1728395061728403</v>
      </c>
      <c r="I25" s="47">
        <f t="shared" si="4"/>
        <v>3.6553524804177555</v>
      </c>
      <c r="J25" s="50">
        <f t="shared" si="5"/>
        <v>559.83652773390168</v>
      </c>
      <c r="K25" s="50">
        <f t="shared" si="6"/>
        <v>2.6161432649883207</v>
      </c>
      <c r="L25" s="52">
        <f t="shared" si="7"/>
        <v>12.444335251578917</v>
      </c>
    </row>
    <row r="26" spans="1:12" x14ac:dyDescent="0.25">
      <c r="A26" s="16">
        <v>25</v>
      </c>
      <c r="B26" s="40" t="s">
        <v>10</v>
      </c>
      <c r="C26" s="40">
        <v>7</v>
      </c>
      <c r="D26" s="77">
        <f>'7. All Regen data'!F4+'7. All Regen data'!F34+'7. All Regen data'!F43+'7. All Regen data'!F58+'7. All Regen data'!F61+'7. All Regen data'!F68+'7. All Regen data'!F72</f>
        <v>8997.3727671519919</v>
      </c>
      <c r="E26" s="125">
        <f t="shared" si="0"/>
        <v>408.97148941599966</v>
      </c>
      <c r="F26" s="161">
        <f t="shared" si="1"/>
        <v>11.749347258485644</v>
      </c>
      <c r="G26" s="43">
        <f t="shared" si="2"/>
        <v>0.31818181818181818</v>
      </c>
      <c r="H26" s="43">
        <f t="shared" si="3"/>
        <v>8.6419753086419764</v>
      </c>
      <c r="I26" s="47">
        <f t="shared" si="4"/>
        <v>11.749347258485642</v>
      </c>
      <c r="J26" s="50">
        <f t="shared" si="5"/>
        <v>1285.3389667359988</v>
      </c>
      <c r="K26" s="50">
        <f t="shared" si="6"/>
        <v>6.0064513736976757</v>
      </c>
      <c r="L26" s="161">
        <f t="shared" si="7"/>
        <v>26.397773940825292</v>
      </c>
    </row>
    <row r="27" spans="1:12" x14ac:dyDescent="0.25">
      <c r="A27" s="16">
        <v>26</v>
      </c>
      <c r="B27" s="40" t="s">
        <v>70</v>
      </c>
      <c r="C27" s="40">
        <v>1</v>
      </c>
      <c r="D27" s="77">
        <f>'7. All Regen data'!F45</f>
        <v>799.76646819128814</v>
      </c>
      <c r="E27" s="125">
        <f t="shared" si="0"/>
        <v>36.353021281422187</v>
      </c>
      <c r="F27" s="77">
        <f t="shared" si="1"/>
        <v>1.0443864229765014</v>
      </c>
      <c r="G27" s="43">
        <f t="shared" si="2"/>
        <v>4.5454545454545456E-2</v>
      </c>
      <c r="H27" s="43">
        <f t="shared" si="3"/>
        <v>1.2345679012345683</v>
      </c>
      <c r="I27" s="47">
        <f t="shared" si="4"/>
        <v>1.0443864229765016</v>
      </c>
      <c r="J27" s="50">
        <f t="shared" si="5"/>
        <v>799.76646819128814</v>
      </c>
      <c r="K27" s="50">
        <f t="shared" si="6"/>
        <v>3.7373475214118872</v>
      </c>
      <c r="L27" s="52">
        <f t="shared" si="7"/>
        <v>6.0163018456229569</v>
      </c>
    </row>
    <row r="28" spans="1:12" x14ac:dyDescent="0.25">
      <c r="A28" s="16">
        <v>27</v>
      </c>
      <c r="B28" s="40" t="s">
        <v>13</v>
      </c>
      <c r="C28" s="40">
        <v>5</v>
      </c>
      <c r="D28" s="77">
        <f>'7. All Regen data'!F8+'7. All Regen data'!F11+'7. All Regen data'!F16+'7. All Regen data'!F39+'7. All Regen data'!F81</f>
        <v>6198.1901284824835</v>
      </c>
      <c r="E28" s="125">
        <f t="shared" si="0"/>
        <v>281.73591493102197</v>
      </c>
      <c r="F28" s="161">
        <f t="shared" si="1"/>
        <v>8.0939947780678878</v>
      </c>
      <c r="G28" s="43">
        <f t="shared" si="2"/>
        <v>0.22727272727272727</v>
      </c>
      <c r="H28" s="43">
        <f t="shared" si="3"/>
        <v>6.1728395061728403</v>
      </c>
      <c r="I28" s="47">
        <f t="shared" si="4"/>
        <v>8.0939947780678878</v>
      </c>
      <c r="J28" s="50">
        <f t="shared" si="5"/>
        <v>1239.6380256964967</v>
      </c>
      <c r="K28" s="50">
        <f t="shared" si="6"/>
        <v>5.7928886581884251</v>
      </c>
      <c r="L28" s="52">
        <f t="shared" si="7"/>
        <v>20.059722942429154</v>
      </c>
    </row>
    <row r="29" spans="1:12" x14ac:dyDescent="0.25">
      <c r="A29" s="16">
        <v>28</v>
      </c>
      <c r="B29" s="79" t="s">
        <v>39</v>
      </c>
      <c r="C29" s="40">
        <v>2</v>
      </c>
      <c r="D29" s="77">
        <f>'7. All Regen data'!F2+'7. All Regen data'!F10</f>
        <v>2199.3577875260426</v>
      </c>
      <c r="E29" s="125">
        <f t="shared" si="0"/>
        <v>99.970808523911032</v>
      </c>
      <c r="F29" s="77">
        <f t="shared" si="1"/>
        <v>2.8720626631853796</v>
      </c>
      <c r="G29" s="43">
        <f t="shared" si="2"/>
        <v>9.0909090909090912E-2</v>
      </c>
      <c r="H29" s="43">
        <f t="shared" si="3"/>
        <v>2.4691358024691366</v>
      </c>
      <c r="I29" s="47">
        <f t="shared" si="4"/>
        <v>2.8720626631853796</v>
      </c>
      <c r="J29" s="50">
        <f t="shared" si="5"/>
        <v>1099.6788937630213</v>
      </c>
      <c r="K29" s="50">
        <f t="shared" si="6"/>
        <v>5.1388528419413451</v>
      </c>
      <c r="L29" s="52">
        <f t="shared" si="7"/>
        <v>10.480051307595861</v>
      </c>
    </row>
    <row r="30" spans="1:12" x14ac:dyDescent="0.25">
      <c r="A30" s="16">
        <v>29</v>
      </c>
      <c r="B30" s="40" t="s">
        <v>62</v>
      </c>
      <c r="C30" s="40">
        <v>4</v>
      </c>
      <c r="D30" s="77">
        <f>'7. All Regen data'!F25+'7. All Regen data'!F28+'7. All Regen data'!F32+'7. All Regen data'!F65</f>
        <v>1999.4161704782205</v>
      </c>
      <c r="E30" s="125">
        <f t="shared" si="0"/>
        <v>90.882553203555474</v>
      </c>
      <c r="F30" s="77">
        <f t="shared" si="1"/>
        <v>2.6109660574412543</v>
      </c>
      <c r="G30" s="43">
        <f t="shared" si="2"/>
        <v>0.18181818181818182</v>
      </c>
      <c r="H30" s="43">
        <f t="shared" si="3"/>
        <v>4.9382716049382731</v>
      </c>
      <c r="I30" s="47">
        <f t="shared" si="4"/>
        <v>2.6109660574412543</v>
      </c>
      <c r="J30" s="50">
        <f t="shared" si="5"/>
        <v>499.85404261955512</v>
      </c>
      <c r="K30" s="50">
        <f t="shared" si="6"/>
        <v>2.3358422008824298</v>
      </c>
      <c r="L30" s="52">
        <f t="shared" si="7"/>
        <v>9.8850798632619572</v>
      </c>
    </row>
    <row r="31" spans="1:12" x14ac:dyDescent="0.25">
      <c r="A31" s="16">
        <v>30</v>
      </c>
      <c r="B31" s="40" t="s">
        <v>49</v>
      </c>
      <c r="C31" s="40">
        <v>1</v>
      </c>
      <c r="D31" s="77">
        <f>'7. All Regen data'!F14</f>
        <v>199.94161704782204</v>
      </c>
      <c r="E31" s="125">
        <f t="shared" si="0"/>
        <v>9.0882553203555467</v>
      </c>
      <c r="F31" s="77">
        <f t="shared" si="1"/>
        <v>0.26109660574412535</v>
      </c>
      <c r="G31" s="43">
        <f t="shared" si="2"/>
        <v>4.5454545454545456E-2</v>
      </c>
      <c r="H31" s="43">
        <f t="shared" si="3"/>
        <v>1.2345679012345683</v>
      </c>
      <c r="I31" s="47">
        <f t="shared" si="4"/>
        <v>0.26109660574412541</v>
      </c>
      <c r="J31" s="50">
        <f t="shared" si="5"/>
        <v>199.94161704782204</v>
      </c>
      <c r="K31" s="50">
        <f t="shared" si="6"/>
        <v>0.9343368803529718</v>
      </c>
      <c r="L31" s="52">
        <f t="shared" si="7"/>
        <v>2.4300013873316657</v>
      </c>
    </row>
    <row r="32" spans="1:12" x14ac:dyDescent="0.25">
      <c r="B32" s="41" t="s">
        <v>127</v>
      </c>
      <c r="C32" s="41">
        <v>22</v>
      </c>
      <c r="D32" s="80">
        <f t="shared" ref="D32:L32" si="8">SUM(D2:D31)</f>
        <v>76577.639329315818</v>
      </c>
      <c r="E32" s="80">
        <f t="shared" si="8"/>
        <v>3480.8017876961735</v>
      </c>
      <c r="F32" s="80"/>
      <c r="G32" s="53">
        <f t="shared" si="8"/>
        <v>3.6818181818181812</v>
      </c>
      <c r="H32" s="53">
        <f t="shared" si="8"/>
        <v>100.00000000000004</v>
      </c>
      <c r="I32" s="55">
        <f t="shared" si="8"/>
        <v>100.00000000000004</v>
      </c>
      <c r="J32" s="81">
        <f t="shared" si="8"/>
        <v>21399.30695792384</v>
      </c>
      <c r="K32" s="81">
        <f t="shared" si="8"/>
        <v>100.00000000000003</v>
      </c>
      <c r="L32" s="56">
        <f t="shared" si="8"/>
        <v>300.00000000000011</v>
      </c>
    </row>
    <row r="33" spans="2:12" x14ac:dyDescent="0.25">
      <c r="B33" s="1"/>
      <c r="C33" s="4" t="s">
        <v>213</v>
      </c>
      <c r="D33" s="177">
        <f>D32/22</f>
        <v>3480.8017876961735</v>
      </c>
      <c r="E33" s="177"/>
      <c r="F33" s="1"/>
      <c r="G33" s="1"/>
      <c r="H33" s="1"/>
      <c r="I33" s="1"/>
      <c r="J33" s="1"/>
      <c r="K33" s="1"/>
      <c r="L33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Plots Location - LandUse</vt:lpstr>
      <vt:lpstr>2. All 30+ cm</vt:lpstr>
      <vt:lpstr>3. All 10-30cm</vt:lpstr>
      <vt:lpstr>4. Diameter class</vt:lpstr>
      <vt:lpstr>5. All Tree Composition</vt:lpstr>
      <vt:lpstr>6. IVI &amp; Diversity index</vt:lpstr>
      <vt:lpstr>7. All Regen data</vt:lpstr>
      <vt:lpstr>8. IVI of regeneration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2019-09-24T15:03:24Z</dcterms:created>
  <dcterms:modified xsi:type="dcterms:W3CDTF">2019-09-24T15:03:39Z</dcterms:modified>
</cp:coreProperties>
</file>