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3.xml" ContentType="application/vnd.openxmlformats-officedocument.drawing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6.xml" ContentType="application/vnd.openxmlformats-officedocument.drawing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7.xml" ContentType="application/vnd.openxmlformats-officedocument.drawing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8.xml" ContentType="application/vnd.openxmlformats-officedocument.drawing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drawings/drawing9.xml" ContentType="application/vnd.openxmlformats-officedocument.drawing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drawings/drawing10.xml" ContentType="application/vnd.openxmlformats-officedocument.drawing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charts/chart19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charts/chart20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charts/chart21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charts/chart22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charts/chart23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charts/chart24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charts/chart25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charts/chart26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charts/chart27.xml" ContentType="application/vnd.openxmlformats-officedocument.drawingml.chart+xml"/>
  <Override PartName="/xl/charts/style27.xml" ContentType="application/vnd.ms-office.chartstyle+xml"/>
  <Override PartName="/xl/charts/colors27.xml" ContentType="application/vnd.ms-office.chartcolorstyle+xml"/>
  <Override PartName="/xl/charts/chart28.xml" ContentType="application/vnd.openxmlformats-officedocument.drawingml.chart+xml"/>
  <Override PartName="/xl/charts/style28.xml" ContentType="application/vnd.ms-office.chartstyle+xml"/>
  <Override PartName="/xl/charts/colors28.xml" ContentType="application/vnd.ms-office.chartcolorstyle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3426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C:\Users\adsyu\Documents\For MeTSi\All About College\Thesis\Draft Journal\Kajian SKM\"/>
    </mc:Choice>
  </mc:AlternateContent>
  <xr:revisionPtr revIDLastSave="0" documentId="13_ncr:1_{E2A3F3E7-DE36-46B2-A5B0-146F04262C6E}" xr6:coauthVersionLast="45" xr6:coauthVersionMax="45" xr10:uidLastSave="{00000000-0000-0000-0000-000000000000}"/>
  <bookViews>
    <workbookView xWindow="-98" yWindow="-98" windowWidth="20715" windowHeight="13276" firstSheet="2" activeTab="14" xr2:uid="{8B178808-3C23-4ADA-8277-6332583C9400}"/>
  </bookViews>
  <sheets>
    <sheet name="2014" sheetId="3" r:id="rId1"/>
    <sheet name="2015" sheetId="4" r:id="rId2"/>
    <sheet name="2017" sheetId="5" r:id="rId3"/>
    <sheet name="2018" sheetId="6" r:id="rId4"/>
    <sheet name="2019" sheetId="7" r:id="rId5"/>
    <sheet name="Data KA 5 Tahun Terakhir" sheetId="2" r:id="rId6"/>
    <sheet name="Data Hotel" sheetId="8" r:id="rId7"/>
    <sheet name="Data Rumah Sakit" sheetId="10" r:id="rId8"/>
    <sheet name="Loundry" sheetId="11" r:id="rId9"/>
    <sheet name="Peternakan" sheetId="12" r:id="rId10"/>
    <sheet name="Peternakan (BPS)" sheetId="19" r:id="rId11"/>
    <sheet name="Industry" sheetId="13" r:id="rId12"/>
    <sheet name="Domestik Penduduk" sheetId="14" r:id="rId13"/>
    <sheet name="Penggunaan Lahan" sheetId="15" r:id="rId14"/>
    <sheet name="Summary Penggunaan Lahan" sheetId="9" r:id="rId15"/>
    <sheet name="Data Klimatologi " sheetId="17" r:id="rId16"/>
    <sheet name="Data Solar Radiasi" sheetId="21" r:id="rId17"/>
    <sheet name="For Input " sheetId="24" r:id="rId18"/>
    <sheet name="Data Morfologi" sheetId="18" r:id="rId19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K41" i="19" l="1"/>
  <c r="K40" i="19"/>
  <c r="K39" i="19"/>
  <c r="J40" i="19"/>
  <c r="J38" i="19"/>
  <c r="I37" i="19"/>
  <c r="H42" i="19"/>
  <c r="H41" i="19"/>
  <c r="H40" i="19"/>
  <c r="H38" i="19"/>
  <c r="H37" i="19"/>
  <c r="H36" i="19"/>
  <c r="N32" i="19"/>
  <c r="K42" i="19" s="1"/>
  <c r="M32" i="19"/>
  <c r="L32" i="19"/>
  <c r="K32" i="19"/>
  <c r="J32" i="19"/>
  <c r="K38" i="19" s="1"/>
  <c r="I32" i="19"/>
  <c r="K37" i="19" s="1"/>
  <c r="H32" i="19"/>
  <c r="K36" i="19" s="1"/>
  <c r="M31" i="19"/>
  <c r="J41" i="19" s="1"/>
  <c r="L31" i="19"/>
  <c r="J31" i="19"/>
  <c r="I31" i="19"/>
  <c r="J37" i="19" s="1"/>
  <c r="H31" i="19"/>
  <c r="J36" i="19" s="1"/>
  <c r="L30" i="19"/>
  <c r="I40" i="19" s="1"/>
  <c r="I30" i="19"/>
  <c r="Q11" i="15"/>
  <c r="Q10" i="15"/>
  <c r="Q9" i="15"/>
  <c r="Q8" i="15"/>
  <c r="P10" i="15"/>
  <c r="P9" i="15"/>
  <c r="BL37" i="17"/>
  <c r="BL38" i="17"/>
  <c r="BL39" i="17"/>
  <c r="BL40" i="17"/>
  <c r="BL41" i="17"/>
  <c r="BL42" i="17"/>
  <c r="BL43" i="17"/>
  <c r="BL44" i="17"/>
  <c r="BL45" i="17"/>
  <c r="BL46" i="17"/>
  <c r="BL47" i="17"/>
  <c r="BL36" i="17"/>
  <c r="BK32" i="17"/>
  <c r="BK31" i="17"/>
  <c r="BK30" i="17"/>
  <c r="BK29" i="17"/>
  <c r="BK28" i="17"/>
  <c r="BK27" i="17"/>
  <c r="BK26" i="17"/>
  <c r="BK25" i="17"/>
  <c r="BK24" i="17"/>
  <c r="BK23" i="17"/>
  <c r="BK22" i="17"/>
  <c r="BK21" i="17"/>
  <c r="BK16" i="17"/>
  <c r="BK15" i="17"/>
  <c r="BK14" i="17"/>
  <c r="BK13" i="17"/>
  <c r="BK12" i="17"/>
  <c r="BK11" i="17"/>
  <c r="BK10" i="17"/>
  <c r="BK9" i="17"/>
  <c r="BK8" i="17"/>
  <c r="BK7" i="17"/>
  <c r="BK6" i="17"/>
  <c r="BK5" i="17"/>
  <c r="BB22" i="17"/>
  <c r="BB23" i="17"/>
  <c r="BB24" i="17"/>
  <c r="BB25" i="17"/>
  <c r="BB26" i="17"/>
  <c r="BB27" i="17"/>
  <c r="BB28" i="17"/>
  <c r="BB29" i="17"/>
  <c r="BB30" i="17"/>
  <c r="BB31" i="17"/>
  <c r="BB32" i="17"/>
  <c r="BB21" i="17"/>
  <c r="BA16" i="17"/>
  <c r="BA15" i="17"/>
  <c r="BA14" i="17"/>
  <c r="BA13" i="17"/>
  <c r="BA12" i="17"/>
  <c r="BA11" i="17"/>
  <c r="BA10" i="17"/>
  <c r="BA9" i="17"/>
  <c r="BA8" i="17"/>
  <c r="BA7" i="17"/>
  <c r="BA6" i="17"/>
  <c r="BA5" i="17"/>
  <c r="AS64" i="17"/>
  <c r="AS63" i="17"/>
  <c r="AS62" i="17"/>
  <c r="AS61" i="17"/>
  <c r="AS60" i="17"/>
  <c r="AS59" i="17"/>
  <c r="AS58" i="17"/>
  <c r="AS57" i="17"/>
  <c r="AS56" i="17"/>
  <c r="AS55" i="17"/>
  <c r="AS54" i="17"/>
  <c r="AS53" i="17"/>
  <c r="AS48" i="17"/>
  <c r="AS47" i="17"/>
  <c r="AS46" i="17"/>
  <c r="AS45" i="17"/>
  <c r="AS44" i="17"/>
  <c r="AS43" i="17"/>
  <c r="AS42" i="17"/>
  <c r="AS41" i="17"/>
  <c r="AS40" i="17"/>
  <c r="AS39" i="17"/>
  <c r="AS38" i="17"/>
  <c r="AS37" i="17"/>
  <c r="AS32" i="17"/>
  <c r="AS31" i="17"/>
  <c r="AS30" i="17"/>
  <c r="AS29" i="17"/>
  <c r="AS28" i="17"/>
  <c r="AS27" i="17"/>
  <c r="AS26" i="17"/>
  <c r="AS25" i="17"/>
  <c r="AS24" i="17"/>
  <c r="AS23" i="17"/>
  <c r="AS22" i="17"/>
  <c r="AS21" i="17"/>
  <c r="AS16" i="17"/>
  <c r="AS15" i="17"/>
  <c r="AS14" i="17"/>
  <c r="AS13" i="17"/>
  <c r="AS12" i="17"/>
  <c r="AS11" i="17"/>
  <c r="AS10" i="17"/>
  <c r="AS9" i="17"/>
  <c r="AS8" i="17"/>
  <c r="AS7" i="17"/>
  <c r="AS6" i="17"/>
  <c r="AS5" i="17"/>
  <c r="AA32" i="17"/>
  <c r="AA31" i="17"/>
  <c r="AA30" i="17"/>
  <c r="AA29" i="17"/>
  <c r="AA28" i="17"/>
  <c r="AA27" i="17"/>
  <c r="AA26" i="17"/>
  <c r="AA25" i="17"/>
  <c r="AA24" i="17"/>
  <c r="AA23" i="17"/>
  <c r="AA22" i="17"/>
  <c r="AA21" i="17"/>
  <c r="AA7" i="17"/>
  <c r="AA8" i="17"/>
  <c r="AA9" i="17"/>
  <c r="AA10" i="17"/>
  <c r="AA11" i="17"/>
  <c r="AA12" i="17"/>
  <c r="AA13" i="17"/>
  <c r="AA14" i="17"/>
  <c r="AA15" i="17"/>
  <c r="AA16" i="17"/>
  <c r="AA17" i="17"/>
  <c r="AA6" i="17"/>
  <c r="D267" i="18" l="1"/>
  <c r="F266" i="18"/>
  <c r="F265" i="18"/>
  <c r="F264" i="18"/>
  <c r="F263" i="18"/>
  <c r="F262" i="18"/>
  <c r="F261" i="18"/>
  <c r="F260" i="18"/>
  <c r="F259" i="18"/>
  <c r="F258" i="18"/>
  <c r="F257" i="18"/>
  <c r="F256" i="18"/>
  <c r="F255" i="18"/>
  <c r="F254" i="18"/>
  <c r="F253" i="18"/>
  <c r="F252" i="18"/>
  <c r="F251" i="18"/>
  <c r="F250" i="18"/>
  <c r="F249" i="18"/>
  <c r="F248" i="18"/>
  <c r="F247" i="18"/>
  <c r="F246" i="18"/>
  <c r="F245" i="18"/>
  <c r="F244" i="18"/>
  <c r="F243" i="18"/>
  <c r="F242" i="18"/>
  <c r="F241" i="18"/>
  <c r="F240" i="18"/>
  <c r="F239" i="18"/>
  <c r="E239" i="18"/>
  <c r="E267" i="18" s="1"/>
  <c r="G11" i="18" s="1"/>
  <c r="F238" i="18"/>
  <c r="F237" i="18"/>
  <c r="F236" i="18"/>
  <c r="F235" i="18"/>
  <c r="F234" i="18"/>
  <c r="F233" i="18"/>
  <c r="E233" i="18"/>
  <c r="F232" i="18"/>
  <c r="F231" i="18"/>
  <c r="F230" i="18"/>
  <c r="F229" i="18"/>
  <c r="F228" i="18"/>
  <c r="F227" i="18"/>
  <c r="F226" i="18"/>
  <c r="F225" i="18"/>
  <c r="F224" i="18"/>
  <c r="F223" i="18"/>
  <c r="F222" i="18"/>
  <c r="F221" i="18"/>
  <c r="F220" i="18"/>
  <c r="F219" i="18"/>
  <c r="F218" i="18"/>
  <c r="F217" i="18"/>
  <c r="F216" i="18"/>
  <c r="F215" i="18"/>
  <c r="F214" i="18"/>
  <c r="F213" i="18"/>
  <c r="F212" i="18"/>
  <c r="F211" i="18"/>
  <c r="F210" i="18"/>
  <c r="F209" i="18"/>
  <c r="F208" i="18"/>
  <c r="F207" i="18"/>
  <c r="F206" i="18"/>
  <c r="F205" i="18"/>
  <c r="F204" i="18"/>
  <c r="F203" i="18"/>
  <c r="F202" i="18"/>
  <c r="F201" i="18"/>
  <c r="F200" i="18"/>
  <c r="F199" i="18"/>
  <c r="F198" i="18"/>
  <c r="F197" i="18"/>
  <c r="F196" i="18"/>
  <c r="F195" i="18"/>
  <c r="F194" i="18"/>
  <c r="F193" i="18"/>
  <c r="F192" i="18"/>
  <c r="F191" i="18"/>
  <c r="F190" i="18"/>
  <c r="F189" i="18"/>
  <c r="F188" i="18"/>
  <c r="F187" i="18"/>
  <c r="F186" i="18"/>
  <c r="F185" i="18"/>
  <c r="C184" i="18"/>
  <c r="E181" i="18"/>
  <c r="G10" i="18" s="1"/>
  <c r="D181" i="18"/>
  <c r="E10" i="18" s="1"/>
  <c r="F180" i="18"/>
  <c r="F179" i="18"/>
  <c r="F178" i="18"/>
  <c r="E178" i="18"/>
  <c r="F177" i="18"/>
  <c r="F176" i="18"/>
  <c r="F175" i="18"/>
  <c r="F174" i="18"/>
  <c r="F173" i="18"/>
  <c r="F172" i="18"/>
  <c r="F171" i="18"/>
  <c r="F170" i="18"/>
  <c r="F169" i="18"/>
  <c r="F168" i="18"/>
  <c r="F167" i="18"/>
  <c r="F166" i="18"/>
  <c r="F165" i="18"/>
  <c r="F164" i="18"/>
  <c r="F163" i="18"/>
  <c r="F162" i="18"/>
  <c r="F161" i="18"/>
  <c r="F160" i="18"/>
  <c r="F159" i="18"/>
  <c r="F158" i="18"/>
  <c r="F157" i="18"/>
  <c r="F156" i="18"/>
  <c r="F155" i="18"/>
  <c r="F154" i="18"/>
  <c r="F153" i="18"/>
  <c r="F152" i="18"/>
  <c r="F151" i="18"/>
  <c r="F150" i="18"/>
  <c r="F149" i="18"/>
  <c r="F148" i="18"/>
  <c r="F147" i="18"/>
  <c r="F146" i="18"/>
  <c r="F145" i="18"/>
  <c r="F144" i="18"/>
  <c r="F143" i="18"/>
  <c r="F142" i="18"/>
  <c r="F141" i="18"/>
  <c r="F140" i="18"/>
  <c r="F139" i="18"/>
  <c r="F138" i="18"/>
  <c r="F137" i="18"/>
  <c r="F136" i="18"/>
  <c r="F135" i="18"/>
  <c r="F134" i="18"/>
  <c r="F133" i="18"/>
  <c r="F132" i="18"/>
  <c r="F131" i="18"/>
  <c r="F130" i="18"/>
  <c r="F129" i="18"/>
  <c r="F128" i="18"/>
  <c r="F127" i="18"/>
  <c r="F126" i="18"/>
  <c r="F125" i="18"/>
  <c r="F124" i="18"/>
  <c r="F123" i="18"/>
  <c r="F122" i="18"/>
  <c r="F121" i="18"/>
  <c r="F120" i="18"/>
  <c r="F119" i="18"/>
  <c r="F118" i="18"/>
  <c r="F117" i="18"/>
  <c r="F116" i="18"/>
  <c r="F115" i="18"/>
  <c r="C114" i="18"/>
  <c r="E111" i="18"/>
  <c r="D111" i="18"/>
  <c r="F110" i="18"/>
  <c r="F109" i="18"/>
  <c r="F108" i="18"/>
  <c r="F107" i="18"/>
  <c r="F106" i="18"/>
  <c r="F105" i="18"/>
  <c r="F104" i="18"/>
  <c r="F103" i="18"/>
  <c r="F102" i="18"/>
  <c r="F101" i="18"/>
  <c r="F100" i="18"/>
  <c r="F99" i="18"/>
  <c r="F98" i="18"/>
  <c r="F97" i="18"/>
  <c r="F96" i="18"/>
  <c r="F95" i="18"/>
  <c r="F94" i="18"/>
  <c r="C93" i="18"/>
  <c r="E90" i="18"/>
  <c r="G8" i="18" s="1"/>
  <c r="F89" i="18"/>
  <c r="F88" i="18"/>
  <c r="F87" i="18"/>
  <c r="F86" i="18"/>
  <c r="F85" i="18"/>
  <c r="F84" i="18"/>
  <c r="F83" i="18"/>
  <c r="F82" i="18"/>
  <c r="F81" i="18"/>
  <c r="F80" i="18"/>
  <c r="F79" i="18"/>
  <c r="F78" i="18"/>
  <c r="F77" i="18"/>
  <c r="F76" i="18"/>
  <c r="F75" i="18"/>
  <c r="F74" i="18"/>
  <c r="F73" i="18"/>
  <c r="F72" i="18"/>
  <c r="F71" i="18"/>
  <c r="F70" i="18"/>
  <c r="D70" i="18"/>
  <c r="F69" i="18"/>
  <c r="F68" i="18"/>
  <c r="F67" i="18"/>
  <c r="F66" i="18"/>
  <c r="F65" i="18"/>
  <c r="D65" i="18"/>
  <c r="C64" i="18"/>
  <c r="E61" i="18"/>
  <c r="G7" i="18" s="1"/>
  <c r="F60" i="18"/>
  <c r="F59" i="18"/>
  <c r="F58" i="18"/>
  <c r="F57" i="18"/>
  <c r="F56" i="18"/>
  <c r="F55" i="18"/>
  <c r="F54" i="18"/>
  <c r="F53" i="18"/>
  <c r="F52" i="18"/>
  <c r="F51" i="18"/>
  <c r="F50" i="18"/>
  <c r="F49" i="18"/>
  <c r="F48" i="18"/>
  <c r="F47" i="18"/>
  <c r="D47" i="18"/>
  <c r="D61" i="18" s="1"/>
  <c r="F46" i="18"/>
  <c r="F45" i="18"/>
  <c r="F44" i="18"/>
  <c r="F43" i="18"/>
  <c r="F42" i="18"/>
  <c r="F41" i="18"/>
  <c r="F40" i="18"/>
  <c r="F39" i="18"/>
  <c r="F38" i="18"/>
  <c r="F37" i="18"/>
  <c r="F36" i="18"/>
  <c r="F35" i="18"/>
  <c r="F34" i="18"/>
  <c r="F33" i="18"/>
  <c r="F32" i="18"/>
  <c r="F31" i="18"/>
  <c r="F30" i="18"/>
  <c r="F29" i="18"/>
  <c r="F28" i="18"/>
  <c r="F27" i="18"/>
  <c r="F26" i="18"/>
  <c r="F25" i="18"/>
  <c r="F24" i="18"/>
  <c r="F23" i="18"/>
  <c r="F22" i="18"/>
  <c r="F21" i="18"/>
  <c r="F20" i="18"/>
  <c r="F19" i="18"/>
  <c r="F18" i="18"/>
  <c r="F17" i="18"/>
  <c r="C16" i="18"/>
  <c r="G9" i="18"/>
  <c r="F6" i="18"/>
  <c r="R70" i="24"/>
  <c r="R69" i="24"/>
  <c r="R68" i="24"/>
  <c r="R67" i="24"/>
  <c r="R66" i="24"/>
  <c r="R65" i="24"/>
  <c r="R64" i="24"/>
  <c r="R63" i="24"/>
  <c r="R62" i="24"/>
  <c r="R61" i="24"/>
  <c r="R60" i="24"/>
  <c r="R59" i="24"/>
  <c r="R58" i="24"/>
  <c r="R57" i="24"/>
  <c r="R56" i="24"/>
  <c r="R55" i="24"/>
  <c r="R54" i="24"/>
  <c r="R53" i="24"/>
  <c r="R52" i="24"/>
  <c r="R51" i="24"/>
  <c r="R50" i="24"/>
  <c r="R49" i="24"/>
  <c r="R48" i="24"/>
  <c r="R47" i="24"/>
  <c r="R46" i="24"/>
  <c r="R45" i="24"/>
  <c r="R44" i="24"/>
  <c r="R43" i="24"/>
  <c r="R42" i="24"/>
  <c r="R41" i="24"/>
  <c r="R40" i="24"/>
  <c r="R39" i="24"/>
  <c r="R38" i="24"/>
  <c r="R37" i="24"/>
  <c r="R36" i="24"/>
  <c r="R35" i="24"/>
  <c r="R34" i="24"/>
  <c r="R33" i="24"/>
  <c r="R32" i="24"/>
  <c r="R31" i="24"/>
  <c r="R30" i="24"/>
  <c r="R29" i="24"/>
  <c r="R28" i="24"/>
  <c r="R27" i="24"/>
  <c r="R26" i="24"/>
  <c r="R25" i="24"/>
  <c r="R24" i="24"/>
  <c r="R23" i="24"/>
  <c r="R22" i="24"/>
  <c r="R21" i="24"/>
  <c r="R20" i="24"/>
  <c r="R19" i="24"/>
  <c r="R18" i="24"/>
  <c r="R17" i="24"/>
  <c r="R16" i="24"/>
  <c r="R15" i="24"/>
  <c r="R14" i="24"/>
  <c r="R13" i="24"/>
  <c r="R12" i="24"/>
  <c r="R11" i="24"/>
  <c r="R10" i="24"/>
  <c r="R9" i="24"/>
  <c r="R8" i="24"/>
  <c r="R7" i="24"/>
  <c r="R6" i="24"/>
  <c r="R5" i="24"/>
  <c r="R4" i="24"/>
  <c r="AA120" i="21"/>
  <c r="Z120" i="21"/>
  <c r="Y120" i="21"/>
  <c r="X120" i="21"/>
  <c r="W120" i="21"/>
  <c r="V120" i="21"/>
  <c r="U120" i="21"/>
  <c r="T120" i="21"/>
  <c r="S120" i="21"/>
  <c r="R120" i="21"/>
  <c r="Q120" i="21"/>
  <c r="P120" i="21"/>
  <c r="G120" i="17"/>
  <c r="I104" i="17"/>
  <c r="P97" i="17"/>
  <c r="M88" i="17"/>
  <c r="L88" i="17"/>
  <c r="K88" i="17"/>
  <c r="J88" i="17"/>
  <c r="I88" i="17"/>
  <c r="H88" i="17"/>
  <c r="G88" i="17"/>
  <c r="F88" i="17"/>
  <c r="E88" i="17"/>
  <c r="D88" i="17"/>
  <c r="C88" i="17"/>
  <c r="M74" i="17"/>
  <c r="L74" i="17"/>
  <c r="K74" i="17"/>
  <c r="J74" i="17"/>
  <c r="I74" i="17"/>
  <c r="H74" i="17"/>
  <c r="G74" i="17"/>
  <c r="F74" i="17"/>
  <c r="E74" i="17"/>
  <c r="D74" i="17"/>
  <c r="C74" i="17"/>
  <c r="P73" i="17"/>
  <c r="P72" i="17"/>
  <c r="P71" i="17"/>
  <c r="P70" i="17"/>
  <c r="P69" i="17"/>
  <c r="P68" i="17"/>
  <c r="P67" i="17"/>
  <c r="P66" i="17"/>
  <c r="P65" i="17"/>
  <c r="P64" i="17"/>
  <c r="P63" i="17"/>
  <c r="P62" i="17"/>
  <c r="M60" i="17"/>
  <c r="L60" i="17"/>
  <c r="K60" i="17"/>
  <c r="J60" i="17"/>
  <c r="I60" i="17"/>
  <c r="H60" i="17"/>
  <c r="G60" i="17"/>
  <c r="F60" i="17"/>
  <c r="E60" i="17"/>
  <c r="D60" i="17"/>
  <c r="C60" i="17"/>
  <c r="P59" i="17"/>
  <c r="P58" i="17"/>
  <c r="P57" i="17"/>
  <c r="P56" i="17"/>
  <c r="P55" i="17"/>
  <c r="P54" i="17"/>
  <c r="P53" i="17"/>
  <c r="P52" i="17"/>
  <c r="P51" i="17"/>
  <c r="P50" i="17"/>
  <c r="P49" i="17"/>
  <c r="P48" i="17"/>
  <c r="M46" i="17"/>
  <c r="L46" i="17"/>
  <c r="K46" i="17"/>
  <c r="J46" i="17"/>
  <c r="I46" i="17"/>
  <c r="H46" i="17"/>
  <c r="G46" i="17"/>
  <c r="F46" i="17"/>
  <c r="E46" i="17"/>
  <c r="D46" i="17"/>
  <c r="C46" i="17"/>
  <c r="P45" i="17"/>
  <c r="P44" i="17"/>
  <c r="P43" i="17"/>
  <c r="P42" i="17"/>
  <c r="P41" i="17"/>
  <c r="P40" i="17"/>
  <c r="P39" i="17"/>
  <c r="P38" i="17"/>
  <c r="P37" i="17"/>
  <c r="P36" i="17"/>
  <c r="P35" i="17"/>
  <c r="P34" i="17"/>
  <c r="M32" i="17"/>
  <c r="L32" i="17"/>
  <c r="K32" i="17"/>
  <c r="J32" i="17"/>
  <c r="I32" i="17"/>
  <c r="H32" i="17"/>
  <c r="G32" i="17"/>
  <c r="F32" i="17"/>
  <c r="E32" i="17"/>
  <c r="D32" i="17"/>
  <c r="C32" i="17"/>
  <c r="P31" i="17"/>
  <c r="P30" i="17"/>
  <c r="P29" i="17"/>
  <c r="P28" i="17"/>
  <c r="P27" i="17"/>
  <c r="P26" i="17"/>
  <c r="P25" i="17"/>
  <c r="P24" i="17"/>
  <c r="P23" i="17"/>
  <c r="P22" i="17"/>
  <c r="P21" i="17"/>
  <c r="P20" i="17"/>
  <c r="M18" i="17"/>
  <c r="L18" i="17"/>
  <c r="K18" i="17"/>
  <c r="J18" i="17"/>
  <c r="I18" i="17"/>
  <c r="H18" i="17"/>
  <c r="G18" i="17"/>
  <c r="F18" i="17"/>
  <c r="E18" i="17"/>
  <c r="D18" i="17"/>
  <c r="C18" i="17"/>
  <c r="P17" i="17"/>
  <c r="P16" i="17"/>
  <c r="P15" i="17"/>
  <c r="P14" i="17"/>
  <c r="P13" i="17"/>
  <c r="P12" i="17"/>
  <c r="P11" i="17"/>
  <c r="P10" i="17"/>
  <c r="P9" i="17"/>
  <c r="P8" i="17"/>
  <c r="P7" i="17"/>
  <c r="P6" i="17"/>
  <c r="E109" i="9"/>
  <c r="D108" i="9"/>
  <c r="D107" i="9"/>
  <c r="D106" i="9"/>
  <c r="D105" i="9"/>
  <c r="D104" i="9"/>
  <c r="D109" i="9" s="1"/>
  <c r="D113" i="9" s="1"/>
  <c r="D98" i="9"/>
  <c r="D90" i="9"/>
  <c r="E85" i="9" s="1"/>
  <c r="H89" i="9"/>
  <c r="H75" i="9"/>
  <c r="D75" i="9"/>
  <c r="E71" i="9" s="1"/>
  <c r="H74" i="9"/>
  <c r="H71" i="9"/>
  <c r="D61" i="9"/>
  <c r="E93" i="9" s="1"/>
  <c r="E59" i="9"/>
  <c r="E58" i="9"/>
  <c r="E57" i="9"/>
  <c r="D53" i="9"/>
  <c r="E52" i="9" s="1"/>
  <c r="H52" i="9"/>
  <c r="E51" i="9"/>
  <c r="E50" i="9"/>
  <c r="E49" i="9"/>
  <c r="H43" i="9"/>
  <c r="H42" i="9"/>
  <c r="H41" i="9"/>
  <c r="H40" i="9"/>
  <c r="D40" i="9"/>
  <c r="E37" i="9" s="1"/>
  <c r="H39" i="9"/>
  <c r="H38" i="9"/>
  <c r="H37" i="9"/>
  <c r="H36" i="9"/>
  <c r="E36" i="9"/>
  <c r="H35" i="9"/>
  <c r="H34" i="9"/>
  <c r="H33" i="9"/>
  <c r="D27" i="9"/>
  <c r="E22" i="9" s="1"/>
  <c r="D15" i="9"/>
  <c r="E12" i="9" s="1"/>
  <c r="F14" i="9"/>
  <c r="F13" i="9"/>
  <c r="F12" i="9"/>
  <c r="F11" i="9"/>
  <c r="E11" i="9"/>
  <c r="F10" i="9"/>
  <c r="F9" i="9"/>
  <c r="F8" i="9"/>
  <c r="F7" i="9"/>
  <c r="F15" i="9" s="1"/>
  <c r="F6" i="9"/>
  <c r="F5" i="9"/>
  <c r="F49" i="15"/>
  <c r="I49" i="15" s="1"/>
  <c r="I48" i="15"/>
  <c r="I47" i="15"/>
  <c r="I42" i="15"/>
  <c r="I41" i="15"/>
  <c r="I40" i="15"/>
  <c r="I39" i="15"/>
  <c r="I38" i="15"/>
  <c r="I37" i="15"/>
  <c r="P12" i="15" s="1"/>
  <c r="I36" i="15"/>
  <c r="I35" i="15"/>
  <c r="I34" i="15"/>
  <c r="F33" i="15"/>
  <c r="I33" i="15" s="1"/>
  <c r="I31" i="15"/>
  <c r="I28" i="15"/>
  <c r="P11" i="15" s="1"/>
  <c r="F27" i="15"/>
  <c r="I27" i="15" s="1"/>
  <c r="O10" i="15" s="1"/>
  <c r="I24" i="15"/>
  <c r="O9" i="15" s="1"/>
  <c r="F24" i="15"/>
  <c r="F17" i="15"/>
  <c r="I17" i="15" s="1"/>
  <c r="I13" i="15"/>
  <c r="I11" i="15"/>
  <c r="I8" i="15"/>
  <c r="P8" i="15" s="1"/>
  <c r="P14" i="15" s="1"/>
  <c r="H39" i="14"/>
  <c r="H36" i="14"/>
  <c r="H34" i="14"/>
  <c r="H33" i="14"/>
  <c r="N10" i="14" s="1"/>
  <c r="H31" i="14"/>
  <c r="H30" i="14"/>
  <c r="H29" i="14"/>
  <c r="H28" i="14"/>
  <c r="H27" i="14"/>
  <c r="H25" i="14"/>
  <c r="H24" i="14"/>
  <c r="H23" i="14"/>
  <c r="H22" i="14"/>
  <c r="H21" i="14"/>
  <c r="N6" i="14" s="1"/>
  <c r="H18" i="14"/>
  <c r="H17" i="14"/>
  <c r="H42" i="14" s="1"/>
  <c r="H16" i="14"/>
  <c r="H15" i="14"/>
  <c r="H12" i="14"/>
  <c r="H11" i="14"/>
  <c r="H10" i="14"/>
  <c r="H9" i="14"/>
  <c r="N7" i="14" s="1"/>
  <c r="G20" i="19"/>
  <c r="G19" i="19"/>
  <c r="F18" i="19"/>
  <c r="N30" i="19" s="1"/>
  <c r="I42" i="19" s="1"/>
  <c r="F17" i="19"/>
  <c r="M30" i="19" s="1"/>
  <c r="I41" i="19" s="1"/>
  <c r="F16" i="19"/>
  <c r="J30" i="19" s="1"/>
  <c r="I38" i="19" s="1"/>
  <c r="G15" i="19"/>
  <c r="F15" i="19"/>
  <c r="H30" i="19" s="1"/>
  <c r="I36" i="19" s="1"/>
  <c r="F14" i="19"/>
  <c r="K30" i="19" s="1"/>
  <c r="I39" i="19" s="1"/>
  <c r="F13" i="19"/>
  <c r="G13" i="19" s="1"/>
  <c r="F12" i="19"/>
  <c r="K31" i="19" s="1"/>
  <c r="J39" i="19" s="1"/>
  <c r="F11" i="19"/>
  <c r="G11" i="19" s="1"/>
  <c r="F10" i="19"/>
  <c r="M33" i="19" s="1"/>
  <c r="L41" i="19" s="1"/>
  <c r="G9" i="19"/>
  <c r="F9" i="19"/>
  <c r="L33" i="19" s="1"/>
  <c r="L40" i="19" s="1"/>
  <c r="F8" i="19"/>
  <c r="J33" i="19" s="1"/>
  <c r="L38" i="19" s="1"/>
  <c r="G7" i="19"/>
  <c r="F7" i="19"/>
  <c r="I33" i="19" s="1"/>
  <c r="L37" i="19" s="1"/>
  <c r="F6" i="19"/>
  <c r="H33" i="19" s="1"/>
  <c r="L36" i="19" s="1"/>
  <c r="F5" i="19"/>
  <c r="K33" i="19" s="1"/>
  <c r="L39" i="19" s="1"/>
  <c r="F4" i="19"/>
  <c r="K29" i="19" s="1"/>
  <c r="H39" i="19" s="1"/>
  <c r="K15" i="12"/>
  <c r="K14" i="12"/>
  <c r="K13" i="12"/>
  <c r="K12" i="12"/>
  <c r="K11" i="12"/>
  <c r="K10" i="12"/>
  <c r="K9" i="12"/>
  <c r="K8" i="12"/>
  <c r="K17" i="12" s="1"/>
  <c r="K7" i="12"/>
  <c r="K6" i="12"/>
  <c r="K5" i="12"/>
  <c r="K4" i="12"/>
  <c r="O24" i="11"/>
  <c r="O23" i="11"/>
  <c r="O22" i="11"/>
  <c r="O21" i="11"/>
  <c r="N20" i="11"/>
  <c r="M20" i="11"/>
  <c r="O20" i="11" s="1"/>
  <c r="N19" i="11"/>
  <c r="M19" i="11"/>
  <c r="O19" i="11" s="1"/>
  <c r="O18" i="11"/>
  <c r="N17" i="11"/>
  <c r="M17" i="11"/>
  <c r="O17" i="11" s="1"/>
  <c r="N16" i="11"/>
  <c r="M16" i="11"/>
  <c r="O16" i="11" s="1"/>
  <c r="N15" i="11"/>
  <c r="O15" i="11" s="1"/>
  <c r="M15" i="11"/>
  <c r="N14" i="11"/>
  <c r="M14" i="11"/>
  <c r="O14" i="11" s="1"/>
  <c r="O13" i="11"/>
  <c r="O12" i="11"/>
  <c r="N11" i="11"/>
  <c r="O11" i="11" s="1"/>
  <c r="M11" i="11"/>
  <c r="N10" i="11"/>
  <c r="M10" i="11"/>
  <c r="O10" i="11" s="1"/>
  <c r="N9" i="11"/>
  <c r="M9" i="11"/>
  <c r="O9" i="11" s="1"/>
  <c r="O8" i="11"/>
  <c r="N8" i="11"/>
  <c r="M8" i="11"/>
  <c r="O7" i="11"/>
  <c r="N6" i="11"/>
  <c r="M6" i="11"/>
  <c r="O6" i="11" s="1"/>
  <c r="N5" i="11"/>
  <c r="O5" i="11" s="1"/>
  <c r="M5" i="11"/>
  <c r="N4" i="11"/>
  <c r="M4" i="11"/>
  <c r="O4" i="11" s="1"/>
  <c r="J10" i="10"/>
  <c r="J9" i="10"/>
  <c r="J8" i="10"/>
  <c r="J7" i="10"/>
  <c r="J6" i="10"/>
  <c r="J5" i="10"/>
  <c r="J4" i="10"/>
  <c r="J12" i="10" s="1"/>
  <c r="J23" i="8"/>
  <c r="J22" i="8"/>
  <c r="J21" i="8"/>
  <c r="J20" i="8"/>
  <c r="J19" i="8"/>
  <c r="J18" i="8"/>
  <c r="J17" i="8"/>
  <c r="J16" i="8"/>
  <c r="J15" i="8"/>
  <c r="J14" i="8"/>
  <c r="J13" i="8"/>
  <c r="J12" i="8"/>
  <c r="J11" i="8"/>
  <c r="J10" i="8"/>
  <c r="J9" i="8"/>
  <c r="J8" i="8"/>
  <c r="J7" i="8"/>
  <c r="J6" i="8"/>
  <c r="J5" i="8"/>
  <c r="J4" i="8"/>
  <c r="J26" i="8" s="1"/>
  <c r="Q45" i="7"/>
  <c r="Q44" i="7"/>
  <c r="Q39" i="7"/>
  <c r="Q38" i="7"/>
  <c r="Q37" i="7"/>
  <c r="Q36" i="7"/>
  <c r="Q35" i="7"/>
  <c r="Q34" i="7"/>
  <c r="Q33" i="7"/>
  <c r="Q32" i="7"/>
  <c r="Q31" i="7"/>
  <c r="Q30" i="7"/>
  <c r="Q29" i="7"/>
  <c r="Q28" i="7"/>
  <c r="Q27" i="7"/>
  <c r="Q26" i="7"/>
  <c r="Q25" i="7"/>
  <c r="Q24" i="7"/>
  <c r="Q23" i="7"/>
  <c r="Q22" i="7"/>
  <c r="Q21" i="7"/>
  <c r="Q20" i="7"/>
  <c r="Q19" i="7"/>
  <c r="Q18" i="7"/>
  <c r="Q17" i="7"/>
  <c r="Q16" i="7"/>
  <c r="Q15" i="7"/>
  <c r="Q12" i="7"/>
  <c r="Q11" i="7"/>
  <c r="S45" i="6"/>
  <c r="S44" i="6"/>
  <c r="S39" i="6"/>
  <c r="S38" i="6"/>
  <c r="S37" i="6"/>
  <c r="S36" i="6"/>
  <c r="S35" i="6"/>
  <c r="S34" i="6"/>
  <c r="S33" i="6"/>
  <c r="S32" i="6"/>
  <c r="S31" i="6"/>
  <c r="S30" i="6"/>
  <c r="S29" i="6"/>
  <c r="S28" i="6"/>
  <c r="S27" i="6"/>
  <c r="S26" i="6"/>
  <c r="S25" i="6"/>
  <c r="S24" i="6"/>
  <c r="S23" i="6"/>
  <c r="S22" i="6"/>
  <c r="S21" i="6"/>
  <c r="S20" i="6"/>
  <c r="S19" i="6"/>
  <c r="S18" i="6"/>
  <c r="S17" i="6"/>
  <c r="S16" i="6"/>
  <c r="S15" i="6"/>
  <c r="S12" i="6"/>
  <c r="S11" i="6"/>
  <c r="Q45" i="5"/>
  <c r="Q44" i="5"/>
  <c r="Q39" i="5"/>
  <c r="Q38" i="5"/>
  <c r="Q37" i="5"/>
  <c r="Q36" i="5"/>
  <c r="Q35" i="5"/>
  <c r="Q34" i="5"/>
  <c r="Q33" i="5"/>
  <c r="Q32" i="5"/>
  <c r="Q31" i="5"/>
  <c r="Q30" i="5"/>
  <c r="Q29" i="5"/>
  <c r="Q28" i="5"/>
  <c r="Q27" i="5"/>
  <c r="Q26" i="5"/>
  <c r="Q25" i="5"/>
  <c r="Q24" i="5"/>
  <c r="Q23" i="5"/>
  <c r="Q22" i="5"/>
  <c r="Q21" i="5"/>
  <c r="Q20" i="5"/>
  <c r="Q19" i="5"/>
  <c r="Q18" i="5"/>
  <c r="Q17" i="5"/>
  <c r="Q16" i="5"/>
  <c r="Q15" i="5"/>
  <c r="Q12" i="5"/>
  <c r="Q11" i="5"/>
  <c r="Q10" i="5"/>
  <c r="T45" i="4"/>
  <c r="T44" i="4"/>
  <c r="T41" i="4"/>
  <c r="T40" i="4"/>
  <c r="T38" i="4"/>
  <c r="T28" i="4"/>
  <c r="T27" i="4"/>
  <c r="T26" i="4"/>
  <c r="T20" i="4"/>
  <c r="T15" i="4"/>
  <c r="T12" i="4"/>
  <c r="T11" i="4"/>
  <c r="T10" i="4"/>
  <c r="T45" i="3"/>
  <c r="T44" i="3"/>
  <c r="T41" i="3"/>
  <c r="T40" i="3"/>
  <c r="T39" i="3"/>
  <c r="T38" i="3"/>
  <c r="T37" i="3"/>
  <c r="T36" i="3"/>
  <c r="T35" i="3"/>
  <c r="T34" i="3"/>
  <c r="T33" i="3"/>
  <c r="T32" i="3"/>
  <c r="T31" i="3"/>
  <c r="T30" i="3"/>
  <c r="T29" i="3"/>
  <c r="T28" i="3"/>
  <c r="T27" i="3"/>
  <c r="T26" i="3"/>
  <c r="T25" i="3"/>
  <c r="T24" i="3"/>
  <c r="T23" i="3"/>
  <c r="T22" i="3"/>
  <c r="T21" i="3"/>
  <c r="T20" i="3"/>
  <c r="T19" i="3"/>
  <c r="T17" i="3"/>
  <c r="T16" i="3"/>
  <c r="T15" i="3"/>
  <c r="T12" i="3"/>
  <c r="T11" i="3"/>
  <c r="T10" i="3"/>
  <c r="F181" i="18" l="1"/>
  <c r="H10" i="18" s="1"/>
  <c r="F111" i="18"/>
  <c r="H9" i="18" s="1"/>
  <c r="F267" i="18"/>
  <c r="H11" i="18" s="1"/>
  <c r="F61" i="18"/>
  <c r="H7" i="18" s="1"/>
  <c r="D90" i="18"/>
  <c r="F90" i="18"/>
  <c r="H8" i="18" s="1"/>
  <c r="G17" i="19"/>
  <c r="G5" i="19"/>
  <c r="O26" i="11"/>
  <c r="O8" i="15"/>
  <c r="O14" i="15" s="1"/>
  <c r="S14" i="15" s="1"/>
  <c r="E8" i="18"/>
  <c r="O12" i="15"/>
  <c r="E7" i="18"/>
  <c r="O11" i="15"/>
  <c r="E24" i="9"/>
  <c r="E34" i="9"/>
  <c r="E38" i="9"/>
  <c r="E73" i="9"/>
  <c r="E87" i="9"/>
  <c r="E95" i="9"/>
  <c r="E9" i="18"/>
  <c r="G13" i="18"/>
  <c r="F106" i="9"/>
  <c r="D124" i="9"/>
  <c r="D122" i="9"/>
  <c r="F108" i="9"/>
  <c r="D123" i="9"/>
  <c r="D120" i="9"/>
  <c r="F104" i="9"/>
  <c r="F107" i="9"/>
  <c r="D121" i="9"/>
  <c r="F105" i="9"/>
  <c r="E70" i="9"/>
  <c r="E9" i="9"/>
  <c r="E86" i="9"/>
  <c r="E90" i="9" s="1"/>
  <c r="E94" i="9"/>
  <c r="E98" i="9" s="1"/>
  <c r="G6" i="19"/>
  <c r="G10" i="19"/>
  <c r="G14" i="19"/>
  <c r="G18" i="19"/>
  <c r="N8" i="14"/>
  <c r="Q12" i="15"/>
  <c r="Q14" i="15" s="1"/>
  <c r="E6" i="9"/>
  <c r="E10" i="9"/>
  <c r="E14" i="9"/>
  <c r="E25" i="9"/>
  <c r="E67" i="9"/>
  <c r="E74" i="9"/>
  <c r="E88" i="9"/>
  <c r="E96" i="9"/>
  <c r="E11" i="18"/>
  <c r="E5" i="9"/>
  <c r="E13" i="9"/>
  <c r="E23" i="9"/>
  <c r="E72" i="9"/>
  <c r="N9" i="14"/>
  <c r="R12" i="15"/>
  <c r="R14" i="15" s="1"/>
  <c r="E26" i="9"/>
  <c r="E27" i="9" s="1"/>
  <c r="E35" i="9"/>
  <c r="E39" i="9"/>
  <c r="E48" i="9"/>
  <c r="E53" i="9" s="1"/>
  <c r="E56" i="9"/>
  <c r="E61" i="9" s="1"/>
  <c r="E68" i="9"/>
  <c r="E89" i="9"/>
  <c r="E97" i="9"/>
  <c r="E7" i="9"/>
  <c r="E69" i="9"/>
  <c r="G4" i="19"/>
  <c r="G8" i="19"/>
  <c r="G12" i="19"/>
  <c r="G16" i="19"/>
  <c r="E8" i="9"/>
  <c r="E32" i="9"/>
  <c r="N33" i="19"/>
  <c r="L42" i="19" s="1"/>
  <c r="N31" i="19"/>
  <c r="J42" i="19" s="1"/>
  <c r="I50" i="15"/>
  <c r="E33" i="9"/>
  <c r="E60" i="9"/>
  <c r="H13" i="18" l="1"/>
  <c r="F109" i="9"/>
  <c r="G22" i="19"/>
  <c r="E75" i="9"/>
  <c r="E40" i="9"/>
  <c r="E13" i="18"/>
  <c r="F7" i="18"/>
  <c r="F8" i="18" s="1"/>
  <c r="F9" i="18" s="1"/>
  <c r="F10" i="18" s="1"/>
  <c r="F11" i="18" s="1"/>
  <c r="F12" i="18" s="1"/>
  <c r="E15" i="9"/>
</calcChain>
</file>

<file path=xl/sharedStrings.xml><?xml version="1.0" encoding="utf-8"?>
<sst xmlns="http://schemas.openxmlformats.org/spreadsheetml/2006/main" count="2838" uniqueCount="914">
  <si>
    <t>Jembatan I</t>
  </si>
  <si>
    <t>Jembatan Perniagaan</t>
  </si>
  <si>
    <t>mg/L</t>
  </si>
  <si>
    <t>Jembatan S. Parman</t>
  </si>
  <si>
    <t>Jembatan Gelatik</t>
  </si>
  <si>
    <t>Gunung Lingai</t>
  </si>
  <si>
    <t>Waduk Benanga</t>
  </si>
  <si>
    <t>No</t>
  </si>
  <si>
    <t>Parameter</t>
  </si>
  <si>
    <t xml:space="preserve">Satuan </t>
  </si>
  <si>
    <t>Baku Mutu</t>
  </si>
  <si>
    <t>II</t>
  </si>
  <si>
    <t>Kondisi Umum Cuaca</t>
  </si>
  <si>
    <t>Cerah</t>
  </si>
  <si>
    <t>Kondisi Umum Sungai</t>
  </si>
  <si>
    <t>Surut</t>
  </si>
  <si>
    <t>Pasang</t>
  </si>
  <si>
    <t>FISIKA</t>
  </si>
  <si>
    <t>Temperatur</t>
  </si>
  <si>
    <r>
      <rPr>
        <vertAlign val="superscript"/>
        <sz val="11"/>
        <rFont val="Arial"/>
        <family val="2"/>
      </rPr>
      <t>0</t>
    </r>
    <r>
      <rPr>
        <sz val="11"/>
        <rFont val="Arial"/>
        <family val="2"/>
      </rPr>
      <t>C</t>
    </r>
  </si>
  <si>
    <t>deviasi 3</t>
  </si>
  <si>
    <t>Residu Terlarut (TDS)</t>
  </si>
  <si>
    <t>Residu Tersuspensi (TSS)</t>
  </si>
  <si>
    <t>KIMIA ANORGANIK</t>
  </si>
  <si>
    <t>pH</t>
  </si>
  <si>
    <t>-</t>
  </si>
  <si>
    <r>
      <rPr>
        <sz val="11"/>
        <rFont val="Calibri"/>
        <family val="2"/>
      </rPr>
      <t>6−</t>
    </r>
    <r>
      <rPr>
        <sz val="9.35"/>
        <rFont val="Arial"/>
        <family val="2"/>
      </rPr>
      <t>9</t>
    </r>
  </si>
  <si>
    <t>Ammonia bebas</t>
  </si>
  <si>
    <t>Besi Terlarut</t>
  </si>
  <si>
    <t>Fluorida (F)</t>
  </si>
  <si>
    <t>Kadmium (Cd)</t>
  </si>
  <si>
    <r>
      <t>Klorida (Cl</t>
    </r>
    <r>
      <rPr>
        <vertAlign val="superscript"/>
        <sz val="11"/>
        <rFont val="Arial"/>
        <family val="2"/>
      </rPr>
      <t>-</t>
    </r>
    <r>
      <rPr>
        <sz val="11"/>
        <rFont val="Arial"/>
        <family val="2"/>
      </rPr>
      <t>)</t>
    </r>
  </si>
  <si>
    <t>Klorida Bebas</t>
  </si>
  <si>
    <t>Kromium Valensi 6</t>
  </si>
  <si>
    <t>Mangan (Mn)</t>
  </si>
  <si>
    <r>
      <t>Nitrat sebagai NO</t>
    </r>
    <r>
      <rPr>
        <vertAlign val="subscript"/>
        <sz val="11"/>
        <rFont val="Arial"/>
        <family val="2"/>
      </rPr>
      <t>3</t>
    </r>
    <r>
      <rPr>
        <sz val="11"/>
        <rFont val="Arial"/>
        <family val="2"/>
      </rPr>
      <t>-N</t>
    </r>
  </si>
  <si>
    <r>
      <t>Nitrit sebagai NO</t>
    </r>
    <r>
      <rPr>
        <vertAlign val="subscript"/>
        <sz val="11"/>
        <rFont val="Arial"/>
        <family val="2"/>
      </rPr>
      <t>2</t>
    </r>
    <r>
      <rPr>
        <sz val="11"/>
        <rFont val="Arial"/>
        <family val="2"/>
      </rPr>
      <t>-N</t>
    </r>
  </si>
  <si>
    <t>Oksigen terlarut (DO)</t>
  </si>
  <si>
    <t>≥ 4</t>
  </si>
  <si>
    <t>BOD</t>
  </si>
  <si>
    <t>COD</t>
  </si>
  <si>
    <t>Seng (Zn)</t>
  </si>
  <si>
    <t>Sianida (Cn)</t>
  </si>
  <si>
    <r>
      <t>Sulfat (SO</t>
    </r>
    <r>
      <rPr>
        <vertAlign val="subscript"/>
        <sz val="11"/>
        <rFont val="Arial"/>
        <family val="2"/>
      </rPr>
      <t>4</t>
    </r>
    <r>
      <rPr>
        <sz val="11"/>
        <rFont val="Arial"/>
        <family val="2"/>
      </rPr>
      <t>)</t>
    </r>
  </si>
  <si>
    <r>
      <t>Sulfida sebagai H</t>
    </r>
    <r>
      <rPr>
        <vertAlign val="subscript"/>
        <sz val="11"/>
        <rFont val="Arial"/>
        <family val="2"/>
      </rPr>
      <t>2</t>
    </r>
    <r>
      <rPr>
        <sz val="11"/>
        <rFont val="Arial"/>
        <family val="2"/>
      </rPr>
      <t>S</t>
    </r>
  </si>
  <si>
    <t>Tembaga (Cu)</t>
  </si>
  <si>
    <t>Timbal (Pb)</t>
  </si>
  <si>
    <r>
      <t>Pospat (PO</t>
    </r>
    <r>
      <rPr>
        <vertAlign val="subscript"/>
        <sz val="11"/>
        <rFont val="Arial"/>
        <family val="2"/>
      </rPr>
      <t>4-</t>
    </r>
    <r>
      <rPr>
        <sz val="11"/>
        <rFont val="Arial"/>
        <family val="2"/>
      </rPr>
      <t>P)</t>
    </r>
  </si>
  <si>
    <t>Fenol</t>
  </si>
  <si>
    <t>Minyak dan Lemak</t>
  </si>
  <si>
    <t>Deterjen sebagai MBAS</t>
  </si>
  <si>
    <t>Selenium (Se)</t>
  </si>
  <si>
    <t>Kekeruhan</t>
  </si>
  <si>
    <t>Skala NTU</t>
  </si>
  <si>
    <t>**</t>
  </si>
  <si>
    <t>DHL</t>
  </si>
  <si>
    <t>mS/cm</t>
  </si>
  <si>
    <t>MIKROBIOLOGI</t>
  </si>
  <si>
    <t>Total Coliform</t>
  </si>
  <si>
    <t>MPN/100ml</t>
  </si>
  <si>
    <t>Fecal Coli</t>
  </si>
  <si>
    <t>Kelas Air</t>
  </si>
  <si>
    <t>Status Mutu Air (Sistem Nilai STORET)</t>
  </si>
  <si>
    <t>Remark</t>
  </si>
  <si>
    <t>Lokasi Pengukuran</t>
  </si>
  <si>
    <t>Rata-Rata</t>
  </si>
  <si>
    <t>-112 
(Cemar Berat)</t>
  </si>
  <si>
    <t>Jembatan Kehewanan</t>
  </si>
  <si>
    <t>Jembatan Lambung</t>
  </si>
  <si>
    <t>-132 
(Cemar Berat)</t>
  </si>
  <si>
    <t>-128 
(Cemar Berat)</t>
  </si>
  <si>
    <t>Jembatan Gg Nibung</t>
  </si>
  <si>
    <t>-122 
(Cemar Berat)</t>
  </si>
  <si>
    <t>-126 
(Cemar Berat)</t>
  </si>
  <si>
    <t>&lt;0.0171</t>
  </si>
  <si>
    <t>-82 
(Cemar Berat)</t>
  </si>
  <si>
    <t>&lt; 0.056</t>
  </si>
  <si>
    <t>&lt; 0.0021</t>
  </si>
  <si>
    <t>&lt; 0.0002</t>
  </si>
  <si>
    <t>&lt; 0.0011</t>
  </si>
  <si>
    <t>&lt; 0.0078</t>
  </si>
  <si>
    <t>&lt; 0.0027</t>
  </si>
  <si>
    <t>&lt; 0.0006</t>
  </si>
  <si>
    <t>&lt; 0.013</t>
  </si>
  <si>
    <t>Jembatan Pampang</t>
  </si>
  <si>
    <t>&lt;0.056</t>
  </si>
  <si>
    <t>&lt;0.0021</t>
  </si>
  <si>
    <t>&lt;0.0002</t>
  </si>
  <si>
    <t>&lt;0.0011</t>
  </si>
  <si>
    <t>&lt;0.0078</t>
  </si>
  <si>
    <t>&lt;0.0027</t>
  </si>
  <si>
    <t>&lt;0.0105</t>
  </si>
  <si>
    <t>&lt;0.0006</t>
  </si>
  <si>
    <t>&lt;0.013</t>
  </si>
  <si>
    <t>-88 
(Cemar Berat)</t>
  </si>
  <si>
    <t>-117 
(Cemar Berat)</t>
  </si>
  <si>
    <t>Periode Pengukuran (Rata-rata)</t>
  </si>
  <si>
    <t>-32
Cemar Berat</t>
  </si>
  <si>
    <t>-35
Cemar Berat</t>
  </si>
  <si>
    <t>-37
Cemar Berat</t>
  </si>
  <si>
    <t>-28
Cemar Sedang</t>
  </si>
  <si>
    <t>-43
Cemar Berat</t>
  </si>
  <si>
    <t>-51
Cemar Berat</t>
  </si>
  <si>
    <t xml:space="preserve">Cerah </t>
  </si>
  <si>
    <t>-53
Cemar Berat</t>
  </si>
  <si>
    <t>-17
Cemar Sedang</t>
  </si>
  <si>
    <t>-38
Cemar Berat</t>
  </si>
  <si>
    <t>-34
(Cemar Berat)</t>
  </si>
  <si>
    <t>-37
(Cemar Berat)</t>
  </si>
  <si>
    <t>Status Mutu Air (Sistem Nilai PI)</t>
  </si>
  <si>
    <t>12.9
Cemar Berat</t>
  </si>
  <si>
    <t>13.4
Cemar Berat</t>
  </si>
  <si>
    <t>16.5
Cemar Berat</t>
  </si>
  <si>
    <t>7.3
Cemar Sedang</t>
  </si>
  <si>
    <t>6.7
Cemar Sedang</t>
  </si>
  <si>
    <t>13.1
Cemar Berat</t>
  </si>
  <si>
    <t>16.4
Cemar Berat</t>
  </si>
  <si>
    <t>10.7
Cemar Berat</t>
  </si>
  <si>
    <t>10.7
(Cemar Berat)</t>
  </si>
  <si>
    <t>12.6
Cemar Berat</t>
  </si>
  <si>
    <t>11.8
Cemar Berat</t>
  </si>
  <si>
    <t>14.7
Cemar Berat</t>
  </si>
  <si>
    <t>13.3
Cemar Berat</t>
  </si>
  <si>
    <t>9.7
Sedang</t>
  </si>
  <si>
    <t>5.6
Sedang</t>
  </si>
  <si>
    <t>11.3
Cemar Berat</t>
  </si>
  <si>
    <t>11.3
(Cemar Berat)</t>
  </si>
  <si>
    <r>
      <rPr>
        <vertAlign val="superscript"/>
        <sz val="9"/>
        <rFont val="Arial"/>
        <family val="2"/>
      </rPr>
      <t>0</t>
    </r>
    <r>
      <rPr>
        <sz val="9"/>
        <rFont val="Arial"/>
        <family val="2"/>
      </rPr>
      <t>C</t>
    </r>
  </si>
  <si>
    <r>
      <rPr>
        <sz val="9"/>
        <rFont val="Calibri"/>
        <family val="2"/>
      </rPr>
      <t>6−</t>
    </r>
    <r>
      <rPr>
        <sz val="9"/>
        <rFont val="Arial"/>
        <family val="2"/>
      </rPr>
      <t>9</t>
    </r>
  </si>
  <si>
    <r>
      <t>Klorida (Cl</t>
    </r>
    <r>
      <rPr>
        <vertAlign val="superscript"/>
        <sz val="9"/>
        <rFont val="Arial"/>
        <family val="2"/>
      </rPr>
      <t>-</t>
    </r>
    <r>
      <rPr>
        <sz val="9"/>
        <rFont val="Arial"/>
        <family val="2"/>
      </rPr>
      <t>)</t>
    </r>
  </si>
  <si>
    <r>
      <t>Nitrat sebagai NO</t>
    </r>
    <r>
      <rPr>
        <vertAlign val="subscript"/>
        <sz val="9"/>
        <rFont val="Arial"/>
        <family val="2"/>
      </rPr>
      <t>3</t>
    </r>
    <r>
      <rPr>
        <sz val="9"/>
        <rFont val="Arial"/>
        <family val="2"/>
      </rPr>
      <t>-N</t>
    </r>
  </si>
  <si>
    <r>
      <t>Nitrit sebagai NO</t>
    </r>
    <r>
      <rPr>
        <vertAlign val="subscript"/>
        <sz val="9"/>
        <rFont val="Arial"/>
        <family val="2"/>
      </rPr>
      <t>2</t>
    </r>
    <r>
      <rPr>
        <sz val="9"/>
        <rFont val="Arial"/>
        <family val="2"/>
      </rPr>
      <t>-N</t>
    </r>
  </si>
  <si>
    <r>
      <t>Sulfat (SO</t>
    </r>
    <r>
      <rPr>
        <vertAlign val="subscript"/>
        <sz val="9"/>
        <rFont val="Arial"/>
        <family val="2"/>
      </rPr>
      <t>4</t>
    </r>
    <r>
      <rPr>
        <sz val="9"/>
        <rFont val="Arial"/>
        <family val="2"/>
      </rPr>
      <t>)</t>
    </r>
  </si>
  <si>
    <r>
      <t>Sulfida sebagai H</t>
    </r>
    <r>
      <rPr>
        <vertAlign val="subscript"/>
        <sz val="9"/>
        <rFont val="Arial"/>
        <family val="2"/>
      </rPr>
      <t>2</t>
    </r>
    <r>
      <rPr>
        <sz val="9"/>
        <rFont val="Arial"/>
        <family val="2"/>
      </rPr>
      <t>S</t>
    </r>
  </si>
  <si>
    <r>
      <t>Pospat (PO</t>
    </r>
    <r>
      <rPr>
        <vertAlign val="subscript"/>
        <sz val="9"/>
        <rFont val="Arial"/>
        <family val="2"/>
      </rPr>
      <t>4-</t>
    </r>
    <r>
      <rPr>
        <sz val="9"/>
        <rFont val="Arial"/>
        <family val="2"/>
      </rPr>
      <t>P)</t>
    </r>
  </si>
  <si>
    <t>Status Mutu Air
(Sistem Nilai STORET / PI)</t>
  </si>
  <si>
    <t>Nama Hotel</t>
  </si>
  <si>
    <t>Alamat</t>
  </si>
  <si>
    <t>Gambar</t>
  </si>
  <si>
    <t>Jumlah Kamar</t>
  </si>
  <si>
    <t>Potensi Beban Pencemaran</t>
  </si>
  <si>
    <t>Aston Samarinda Hotel &amp; Convention Centre</t>
  </si>
  <si>
    <t>Type Hotel</t>
  </si>
  <si>
    <t>4 Star</t>
  </si>
  <si>
    <t>Jl. Pangeran Hidayatullah, Pelabuhan, Kecamatan Samarinda Kota</t>
  </si>
  <si>
    <t>Radius Dari SKM (Meter)</t>
  </si>
  <si>
    <t>Telpon</t>
  </si>
  <si>
    <t>0541 - 732600</t>
  </si>
  <si>
    <t>Nama Rumah Sakit</t>
  </si>
  <si>
    <t>Swiss-Belhotel Borneo Samarinda</t>
  </si>
  <si>
    <t>Jl. Mulawarman No. 6 Pelabuhan, Kecamatan Samarinda Kota</t>
  </si>
  <si>
    <t>0541 - 200888</t>
  </si>
  <si>
    <t>Zoom Hotel Mulawarman</t>
  </si>
  <si>
    <t>Jl. Mulawarman No. 38 Pelabuhan, Kecamatan Samarinda Kota</t>
  </si>
  <si>
    <t>0541 - 737363</t>
  </si>
  <si>
    <t>3 Star</t>
  </si>
  <si>
    <t>Ibis Hotel Samarinda</t>
  </si>
  <si>
    <t>0541 - 526000</t>
  </si>
  <si>
    <t>Jl. Mulawarman No. 171 Pelabuhan, Kecamatan Samarinda Kota</t>
  </si>
  <si>
    <t>Hotel Mercure Samarinda</t>
  </si>
  <si>
    <t>Rumah Sakit Islam</t>
  </si>
  <si>
    <t>Type RS</t>
  </si>
  <si>
    <t>Kelas C</t>
  </si>
  <si>
    <t>Jl. Gurami No 18 Samarinda</t>
  </si>
  <si>
    <t>0541 - 741510</t>
  </si>
  <si>
    <t>Jumlah Tempat Tidur</t>
  </si>
  <si>
    <t>Kelas A</t>
  </si>
  <si>
    <t>Jl. Kakap No 23 Samarinda</t>
  </si>
  <si>
    <t>0541 - 743364</t>
  </si>
  <si>
    <t>RSJD Atma Husada Mahakam</t>
  </si>
  <si>
    <t>RSIA Aisyiah</t>
  </si>
  <si>
    <t>Jl. P. Hidayatullah No 64 Pelabuhan, Samarinda Kota</t>
  </si>
  <si>
    <t>0541 - 734533</t>
  </si>
  <si>
    <t>Kelas C
(Khusus)</t>
  </si>
  <si>
    <t>RSIA H. Thaha Bakrie</t>
  </si>
  <si>
    <t>Belum Ditetapkan</t>
  </si>
  <si>
    <t>Jl. P. Hidayatullah No 11 Pelabuhan, Samarinda Kota</t>
  </si>
  <si>
    <t>0541 - 742191</t>
  </si>
  <si>
    <t>Hotel Selyca Mulia</t>
  </si>
  <si>
    <t>0541 - 738000</t>
  </si>
  <si>
    <t>Jl. Bhayangkara No. 58 Bugis, Samarinda Kota</t>
  </si>
  <si>
    <t>Mesra Business &amp; Resort Hotel</t>
  </si>
  <si>
    <t>5 Star</t>
  </si>
  <si>
    <t>Jl. Pahlawan No. 1 Samarinda</t>
  </si>
  <si>
    <t>0541 - 732772</t>
  </si>
  <si>
    <t>JB Hotel</t>
  </si>
  <si>
    <t>Jl. K.H. Agus Salim No. 16, Samarinda Kota</t>
  </si>
  <si>
    <t>0541 - 737688</t>
  </si>
  <si>
    <t>Hotel Andhika</t>
  </si>
  <si>
    <t>2 Star</t>
  </si>
  <si>
    <t>Jl. K.H. Agus Salim No. 37 Sungai Pinang Luar, Samarinda Kota</t>
  </si>
  <si>
    <t>0541 - 742358</t>
  </si>
  <si>
    <t>Hotel Lambung</t>
  </si>
  <si>
    <t>Jl. Lambung Mangkurat No. 75 Kec. Samarinda Utara</t>
  </si>
  <si>
    <t>0541 - 748745</t>
  </si>
  <si>
    <t>1 Star</t>
  </si>
  <si>
    <t>Hotel Diamond</t>
  </si>
  <si>
    <t>Jl. Lambung Mangkurat No. 56 Sungai Pinang Dalam Kec. Sungai Pinang</t>
  </si>
  <si>
    <t>0541 - 731212</t>
  </si>
  <si>
    <t>Kota Tepian Hotel</t>
  </si>
  <si>
    <t>Jl. Pahlawan No. 4 Dadi Mulya Kec. Samarinda Ulu</t>
  </si>
  <si>
    <t>Lavender Guest House</t>
  </si>
  <si>
    <t>Jl. Biola No. 32 Sungai Pinang Luar, Kec. Samarinda Kota</t>
  </si>
  <si>
    <t>0541 - 732513</t>
  </si>
  <si>
    <t xml:space="preserve">Hotel Segiri </t>
  </si>
  <si>
    <t>Jl. Pahlawan No. 34 Kec. Samarinda Ulu</t>
  </si>
  <si>
    <t>0541 - 204189</t>
  </si>
  <si>
    <t>Midtown Hotel</t>
  </si>
  <si>
    <t>Jl. Hasan Basri No. 58, Bandara, Kec. Sungai Pinang</t>
  </si>
  <si>
    <t>0541 - 4122222</t>
  </si>
  <si>
    <t>RSUD A. W. Sjahranie</t>
  </si>
  <si>
    <t>Jl. Palang Merah No. 1 Sidodadi, Kec. Samarinda Ulu</t>
  </si>
  <si>
    <t>0541 - 738118</t>
  </si>
  <si>
    <t>Amaris Hotel</t>
  </si>
  <si>
    <t>Jl. Dr. Soetomo No 75 Sidodadi, Kec. Samarinda Ulu</t>
  </si>
  <si>
    <t>0541 - 4103888</t>
  </si>
  <si>
    <t>RS Siaga Al Munawaroh</t>
  </si>
  <si>
    <t>Jl. Ramania No. 3 Sidodadi, Kec. Samarinda Ulu</t>
  </si>
  <si>
    <t>0541 - 739772</t>
  </si>
  <si>
    <t>RS Qurrota 'Ayun</t>
  </si>
  <si>
    <t>Grand Victoria Hotel</t>
  </si>
  <si>
    <t>Jl. Letjend. S. Parman No. 11 Sidodadi, Kec. Samarinda Ulu</t>
  </si>
  <si>
    <t>0541 - 203001</t>
  </si>
  <si>
    <t>The Hotel</t>
  </si>
  <si>
    <t>Jl. Letjend. S. Parman No. 20 Temindung Permai, Kec. Sungai Pinang</t>
  </si>
  <si>
    <t>0541 - 735318</t>
  </si>
  <si>
    <t>Royal Park Hotel</t>
  </si>
  <si>
    <t>Jl. Sentosa No. 1 Sungai Pinang Dalam, Kec. Sungai Pinang</t>
  </si>
  <si>
    <t>0541 - 771290</t>
  </si>
  <si>
    <t>Violand Garden Hotel</t>
  </si>
  <si>
    <t>Jl. Jend. A. Yani No. 129 Temindung Permai, Kec. Sungai Pinang</t>
  </si>
  <si>
    <t>Jl. D. I. Panjaitan No. 77 Mugirejo, Kec. Sungai Pinang</t>
  </si>
  <si>
    <t>0541 - 282816</t>
  </si>
  <si>
    <t>Nama Tempat</t>
  </si>
  <si>
    <t>Type</t>
  </si>
  <si>
    <t>Cherry Loundry</t>
  </si>
  <si>
    <t>Jl. Pulau Banda No. 26 Karang Mumus, Kec. Samarinda Kota</t>
  </si>
  <si>
    <t>Rerata Per hari (kg)</t>
  </si>
  <si>
    <t>80 - 100</t>
  </si>
  <si>
    <t>2400 - 3000</t>
  </si>
  <si>
    <t>Londry</t>
  </si>
  <si>
    <t>Jl. Pesut RT. 9 Sungai Dama, Kec. Samarinda Ilir</t>
  </si>
  <si>
    <t>082357493211</t>
  </si>
  <si>
    <t>08115566379</t>
  </si>
  <si>
    <t>40 - 50</t>
  </si>
  <si>
    <t>1200 - 1500</t>
  </si>
  <si>
    <t>Prime Loundry</t>
  </si>
  <si>
    <t>300 - 600</t>
  </si>
  <si>
    <t>Jl. Mayjend. S. Parman No. 11A Sidodadi, Kec. Samarinda Ulu</t>
  </si>
  <si>
    <t>082252456618</t>
  </si>
  <si>
    <t>Coffee &amp; Loundry</t>
  </si>
  <si>
    <t>Jl. A.M. Sangaji, Bandara, Kec. Sungai Pinang</t>
  </si>
  <si>
    <t>10 - 20</t>
  </si>
  <si>
    <t>Zona Loundry</t>
  </si>
  <si>
    <t>Jl. Belatuk Temindung Permai, Kec. Sungai Pinang</t>
  </si>
  <si>
    <t>081253285161</t>
  </si>
  <si>
    <t>240 - 600</t>
  </si>
  <si>
    <t>8 - 20</t>
  </si>
  <si>
    <t>Putri Loundry</t>
  </si>
  <si>
    <t>Jl. Gelatik No. 6 Temindung Permai, Kec. Sungai Pinang</t>
  </si>
  <si>
    <t>50 - 60</t>
  </si>
  <si>
    <t>1500 - 1800</t>
  </si>
  <si>
    <t>Jenis Ternak</t>
  </si>
  <si>
    <t>Jumlah</t>
  </si>
  <si>
    <t>Kios Rizky Ali</t>
  </si>
  <si>
    <t>Jl. Tarmidi Sungai Pinang Luar, Kec. Samarinda Kota</t>
  </si>
  <si>
    <t>Burung</t>
  </si>
  <si>
    <t>Ayam</t>
  </si>
  <si>
    <t>Kelinci</t>
  </si>
  <si>
    <t>Samarinda Ulu</t>
  </si>
  <si>
    <t>Sapi</t>
  </si>
  <si>
    <t>Kambing</t>
  </si>
  <si>
    <t>Samarinda Utara</t>
  </si>
  <si>
    <t>Kerbau</t>
  </si>
  <si>
    <t>Domba</t>
  </si>
  <si>
    <t>Babi</t>
  </si>
  <si>
    <t>Sungai Pinang</t>
  </si>
  <si>
    <t>Jenis Industry</t>
  </si>
  <si>
    <t>Kecamatan</t>
  </si>
  <si>
    <t>Koefisien Transfer Beban</t>
  </si>
  <si>
    <t>Rasio Ekivalen Kota</t>
  </si>
  <si>
    <t>Samarinda Ilir</t>
  </si>
  <si>
    <t>Samarinda Kota</t>
  </si>
  <si>
    <t>Kota</t>
  </si>
  <si>
    <t>Pinggir Kota</t>
  </si>
  <si>
    <t>Source : http://dkp3a.kaltimprov.go.id/e-infoduk/</t>
  </si>
  <si>
    <t>Jumlah Total (Jiwa)</t>
  </si>
  <si>
    <t>Rincian Per Kelurahan</t>
  </si>
  <si>
    <t>Teluk Lerong  Ilir</t>
  </si>
  <si>
    <t>Kelurahan</t>
  </si>
  <si>
    <t>Jawa</t>
  </si>
  <si>
    <t>Air Putih</t>
  </si>
  <si>
    <t>Sidodadi</t>
  </si>
  <si>
    <t>Air Hitam</t>
  </si>
  <si>
    <t>Dadi Mulya</t>
  </si>
  <si>
    <t>Gunung Kelua</t>
  </si>
  <si>
    <t>Bukit Pinang</t>
  </si>
  <si>
    <t>Selili</t>
  </si>
  <si>
    <t>Sungai Dama</t>
  </si>
  <si>
    <t>Sidomulyo</t>
  </si>
  <si>
    <t>Sidodamai</t>
  </si>
  <si>
    <t>Pelita</t>
  </si>
  <si>
    <t>Karang Mumus</t>
  </si>
  <si>
    <t>Pelabuhan</t>
  </si>
  <si>
    <t>Pasar Pagi</t>
  </si>
  <si>
    <t>Bugis</t>
  </si>
  <si>
    <t>Sungai Pinang Luar</t>
  </si>
  <si>
    <t>Temindung Permai</t>
  </si>
  <si>
    <t>Sungai Pinang Dalam</t>
  </si>
  <si>
    <t>Mugirejo</t>
  </si>
  <si>
    <t>Bandara</t>
  </si>
  <si>
    <t>Sempaja Selatan</t>
  </si>
  <si>
    <t>Lempake</t>
  </si>
  <si>
    <t>Sungai Siring</t>
  </si>
  <si>
    <t>Sempaja Utara</t>
  </si>
  <si>
    <t>Tanah Merah</t>
  </si>
  <si>
    <t>Sempaja Barat</t>
  </si>
  <si>
    <t>Sempaja Timur</t>
  </si>
  <si>
    <t>Budaya Pampang</t>
  </si>
  <si>
    <t>Jenis Lahan</t>
  </si>
  <si>
    <t>Tipe Penggunaan Lahan</t>
  </si>
  <si>
    <t>Luasan</t>
  </si>
  <si>
    <t>(ha)</t>
  </si>
  <si>
    <t>(%)</t>
  </si>
  <si>
    <t>Ladang (Ld)</t>
  </si>
  <si>
    <t>Hutan (Ht)</t>
  </si>
  <si>
    <t>Belukar (Bk)</t>
  </si>
  <si>
    <t>Kebun Campuran (Kc)</t>
  </si>
  <si>
    <t>Semak (Sm)</t>
  </si>
  <si>
    <t>Sawah (Sw)</t>
  </si>
  <si>
    <t>Kebun (Kb)</t>
  </si>
  <si>
    <t>Permukiman (Pm)</t>
  </si>
  <si>
    <t>Perluasan Permukiman (Pp)</t>
  </si>
  <si>
    <t>Rawa (Rw)</t>
  </si>
  <si>
    <t>Bulan</t>
  </si>
  <si>
    <t>Tahun</t>
  </si>
  <si>
    <r>
      <t>Suhu Udara (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>C)</t>
    </r>
  </si>
  <si>
    <t>Max</t>
  </si>
  <si>
    <t>Avg</t>
  </si>
  <si>
    <r>
      <t>Temperature (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>C)</t>
    </r>
  </si>
  <si>
    <t>Humidity (%)</t>
  </si>
  <si>
    <t>Min</t>
  </si>
  <si>
    <t>Atmospheric Pressure (mb)</t>
  </si>
  <si>
    <t>Wind Velocity (knot)</t>
  </si>
  <si>
    <t>Duration of Sunshine (%)</t>
  </si>
  <si>
    <t>Precipitation</t>
  </si>
  <si>
    <r>
      <t>Rainy (mm</t>
    </r>
    <r>
      <rPr>
        <vertAlign val="superscript"/>
        <sz val="11"/>
        <color theme="1"/>
        <rFont val="Calibri"/>
        <family val="2"/>
        <scheme val="minor"/>
      </rPr>
      <t>3</t>
    </r>
    <r>
      <rPr>
        <sz val="11"/>
        <color theme="1"/>
        <rFont val="Calibri"/>
        <family val="2"/>
        <scheme val="minor"/>
      </rPr>
      <t>)</t>
    </r>
  </si>
  <si>
    <t>Rainy Days</t>
  </si>
  <si>
    <t>January</t>
  </si>
  <si>
    <t>February</t>
  </si>
  <si>
    <t>March</t>
  </si>
  <si>
    <t>April</t>
  </si>
  <si>
    <t>May</t>
  </si>
  <si>
    <t>June</t>
  </si>
  <si>
    <t>July</t>
  </si>
  <si>
    <t>August</t>
  </si>
  <si>
    <t>September</t>
  </si>
  <si>
    <t>October</t>
  </si>
  <si>
    <t>November</t>
  </si>
  <si>
    <t>December</t>
  </si>
  <si>
    <t>Average</t>
  </si>
  <si>
    <t>Sumber : Hasil analisis Peta Penggunaan Lahan Sub DAS Karang Mumus, Mallisa, Handayani, BP-DAS, Kurniawan yang dikutip Ismail dan Ismail B</t>
  </si>
  <si>
    <t>Unsur Iklim</t>
  </si>
  <si>
    <t>Curah Hujan (mm/bulan)</t>
  </si>
  <si>
    <t>Hari Hujan (hari)</t>
  </si>
  <si>
    <t>Kelembaban Udara (%)</t>
  </si>
  <si>
    <r>
      <t>Radiasi Surya (Kkal/cm</t>
    </r>
    <r>
      <rPr>
        <vertAlign val="superscript"/>
        <sz val="11"/>
        <color theme="1"/>
        <rFont val="Calibri"/>
        <family val="2"/>
        <scheme val="minor"/>
      </rPr>
      <t>2</t>
    </r>
    <r>
      <rPr>
        <sz val="11"/>
        <color theme="1"/>
        <rFont val="Calibri"/>
        <family val="2"/>
        <scheme val="minor"/>
      </rPr>
      <t>)</t>
    </r>
  </si>
  <si>
    <t>Sumber Data : BMG Saamarinda tahun 2001 - 2005</t>
  </si>
  <si>
    <r>
      <t>Data Unsur Iklim rata-rata bulanan kawasan Sub DAS Karang Mumus (0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>17'30'' LS dan 117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>06"00"-117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>22'00'' BT)</t>
    </r>
  </si>
  <si>
    <t>Hasil Perhitungan Evapotranspirasi Potensial (mm/bulan)</t>
  </si>
  <si>
    <t>I</t>
  </si>
  <si>
    <t>a</t>
  </si>
  <si>
    <t>ETP (mm)</t>
  </si>
  <si>
    <r>
      <t>T (</t>
    </r>
    <r>
      <rPr>
        <b/>
        <vertAlign val="superscript"/>
        <sz val="11"/>
        <color theme="1"/>
        <rFont val="Calibri"/>
        <family val="2"/>
        <scheme val="minor"/>
      </rPr>
      <t>o</t>
    </r>
    <r>
      <rPr>
        <b/>
        <sz val="11"/>
        <color theme="1"/>
        <rFont val="Calibri"/>
        <family val="2"/>
        <scheme val="minor"/>
      </rPr>
      <t>C)</t>
    </r>
  </si>
  <si>
    <t>Jan</t>
  </si>
  <si>
    <t>Feb</t>
  </si>
  <si>
    <t>Mar</t>
  </si>
  <si>
    <t>Apr</t>
  </si>
  <si>
    <t>Jun</t>
  </si>
  <si>
    <t>Jul</t>
  </si>
  <si>
    <t>Aug</t>
  </si>
  <si>
    <t>Sep</t>
  </si>
  <si>
    <t>Oct</t>
  </si>
  <si>
    <t>Nov</t>
  </si>
  <si>
    <t>Dec</t>
  </si>
  <si>
    <t>I =</t>
  </si>
  <si>
    <t>Indeks Panas</t>
  </si>
  <si>
    <t>a =</t>
  </si>
  <si>
    <t>Koef. Pemanasan</t>
  </si>
  <si>
    <t>Sumber : Ismail, MAKARA SAINS, Vol 12 No 2, November 2009 : 151 - 156</t>
  </si>
  <si>
    <t>TMA (m)</t>
  </si>
  <si>
    <t>Debit (m3/det)</t>
  </si>
  <si>
    <t>Data Rata-rata Debit Aliran Sungai Karang Mumus 2001 - 2005</t>
  </si>
  <si>
    <t>Sept</t>
  </si>
  <si>
    <t>Sumber : Ismali, Bulletin Lembuswana Vol V/51 (2005) 8 - 11 ; Ismail, Jurnal Magrobis II/4 (2005) 9 - 16</t>
  </si>
  <si>
    <t>Kecamatan Samarinda Kota</t>
  </si>
  <si>
    <t>Luas (Km2)</t>
  </si>
  <si>
    <t>Persentase</t>
  </si>
  <si>
    <t>Area</t>
  </si>
  <si>
    <t>Ternak Ayam</t>
  </si>
  <si>
    <t>Pertanian</t>
  </si>
  <si>
    <t>Kecamatan Samarinda Utara</t>
  </si>
  <si>
    <t>Sempaja barat</t>
  </si>
  <si>
    <t>Sawah</t>
  </si>
  <si>
    <t>Padi Sawah</t>
  </si>
  <si>
    <t>Padi Ladang</t>
  </si>
  <si>
    <t>Jagung</t>
  </si>
  <si>
    <t>Ketela Pohon</t>
  </si>
  <si>
    <t>Ketela Rambat</t>
  </si>
  <si>
    <t>Kacang tanah</t>
  </si>
  <si>
    <t>Karet</t>
  </si>
  <si>
    <t>Pertanian (Ha)</t>
  </si>
  <si>
    <t>Kelapa</t>
  </si>
  <si>
    <t>Lada</t>
  </si>
  <si>
    <t>Sawit</t>
  </si>
  <si>
    <t>Coklat</t>
  </si>
  <si>
    <t>ayam</t>
  </si>
  <si>
    <t>kambing</t>
  </si>
  <si>
    <t>Ternak Livestock / Poultry</t>
  </si>
  <si>
    <t>Itik</t>
  </si>
  <si>
    <t>Jumlah Rumah Dibantaran Sungai</t>
  </si>
  <si>
    <t>Jumlah Rumah</t>
  </si>
  <si>
    <t>Jumlah KK</t>
  </si>
  <si>
    <t>Kecamatan Samarinda Ilir</t>
  </si>
  <si>
    <t>Kecamatan Samarinda Ulu</t>
  </si>
  <si>
    <t>Teluk Lerong Ilir</t>
  </si>
  <si>
    <t>Kedelai</t>
  </si>
  <si>
    <t>Kopi</t>
  </si>
  <si>
    <t>Kecamatan Sungai Pinang</t>
  </si>
  <si>
    <t>Segmen</t>
  </si>
  <si>
    <t>DS Boundary - Jembatan Sei Dama</t>
  </si>
  <si>
    <t>Jembatan Sei Dama - Jembatan Perniagaan</t>
  </si>
  <si>
    <t>Jembatan Perniagaan - Jembatan S. Parman</t>
  </si>
  <si>
    <t>Jembatan S. Parman - Jembatan Gelatik</t>
  </si>
  <si>
    <t>Jembatan Gelatik - Jembatan Lempake</t>
  </si>
  <si>
    <t>Jembatan Lempake - Waduk Benanga</t>
  </si>
  <si>
    <t>Waduk Benanga - US Boundary</t>
  </si>
  <si>
    <t>Nama Segmen</t>
  </si>
  <si>
    <t>Jarak</t>
  </si>
  <si>
    <t>Patok</t>
  </si>
  <si>
    <t>Segmen 1</t>
  </si>
  <si>
    <t>P50 - P49</t>
  </si>
  <si>
    <t>P51 - P50</t>
  </si>
  <si>
    <t>P49 - P48</t>
  </si>
  <si>
    <t>P48 - P47</t>
  </si>
  <si>
    <t>P47 - P46</t>
  </si>
  <si>
    <t>P46 - P45</t>
  </si>
  <si>
    <t>P45 - P44</t>
  </si>
  <si>
    <t>P44 - P44a</t>
  </si>
  <si>
    <t>P44a - S43</t>
  </si>
  <si>
    <t>S43 - S42</t>
  </si>
  <si>
    <t>S42 - S41</t>
  </si>
  <si>
    <t>S41 - S40</t>
  </si>
  <si>
    <t>S40 - S39</t>
  </si>
  <si>
    <t>S39 - S38</t>
  </si>
  <si>
    <t>S38 - S37</t>
  </si>
  <si>
    <t>S37 - S36</t>
  </si>
  <si>
    <t>S36 - S35</t>
  </si>
  <si>
    <t>S35 - S34</t>
  </si>
  <si>
    <t>S34 - S33</t>
  </si>
  <si>
    <t>S33 - S32</t>
  </si>
  <si>
    <t>S32 - S31</t>
  </si>
  <si>
    <t>S31 - S30</t>
  </si>
  <si>
    <t>S30 - S29</t>
  </si>
  <si>
    <t>S29 - S27</t>
  </si>
  <si>
    <t>S27 - S26</t>
  </si>
  <si>
    <t>S26 - S25</t>
  </si>
  <si>
    <t>S25 - S24</t>
  </si>
  <si>
    <t>S24 - S23</t>
  </si>
  <si>
    <t>S23 - S22</t>
  </si>
  <si>
    <t>S22 - S21</t>
  </si>
  <si>
    <t>S21 - S18a</t>
  </si>
  <si>
    <t>S18a - S18</t>
  </si>
  <si>
    <t>S18 - S17</t>
  </si>
  <si>
    <t>S17 - S16</t>
  </si>
  <si>
    <t>S16 - S15</t>
  </si>
  <si>
    <t>S15 - S15a</t>
  </si>
  <si>
    <t>S15a - S14</t>
  </si>
  <si>
    <t>S12 - S11</t>
  </si>
  <si>
    <t>S14 - S12</t>
  </si>
  <si>
    <t>S11 - S6</t>
  </si>
  <si>
    <t>S6 - S5</t>
  </si>
  <si>
    <t>S5 - S4</t>
  </si>
  <si>
    <t>S4 - S3</t>
  </si>
  <si>
    <t>S3 - S2</t>
  </si>
  <si>
    <t>Jarak antar Patok (m)</t>
  </si>
  <si>
    <t>Lebar (m)</t>
  </si>
  <si>
    <t>Elevasi / Kedalaman (m)</t>
  </si>
  <si>
    <t>S2 - P1</t>
  </si>
  <si>
    <t>P1 - P4</t>
  </si>
  <si>
    <t>P4 - P6</t>
  </si>
  <si>
    <t>P6 - P7</t>
  </si>
  <si>
    <t>P7 - P9</t>
  </si>
  <si>
    <t>P9 - P13</t>
  </si>
  <si>
    <t>P13 - P15</t>
  </si>
  <si>
    <t>P15 - P16</t>
  </si>
  <si>
    <t>P16 - P18a</t>
  </si>
  <si>
    <t>P18a - P18</t>
  </si>
  <si>
    <t>Jarak Kumulatif (m)</t>
  </si>
  <si>
    <t>Lebar (Rerata)</t>
  </si>
  <si>
    <t>Kedalaman (Rerata)</t>
  </si>
  <si>
    <t>P18 -P18b</t>
  </si>
  <si>
    <t>P18b - P18c</t>
  </si>
  <si>
    <t>P18c - P19</t>
  </si>
  <si>
    <t>P19 - P20</t>
  </si>
  <si>
    <t>P20 - P21</t>
  </si>
  <si>
    <t>P21 - P22</t>
  </si>
  <si>
    <t>P22 - P23</t>
  </si>
  <si>
    <t>P23 - P24</t>
  </si>
  <si>
    <t>P24 - P27</t>
  </si>
  <si>
    <t>P27 - P28</t>
  </si>
  <si>
    <t>P28 - P29</t>
  </si>
  <si>
    <t>P29 - P30</t>
  </si>
  <si>
    <t>P30 - P31</t>
  </si>
  <si>
    <t>P31 - P33</t>
  </si>
  <si>
    <t>P33 - P34</t>
  </si>
  <si>
    <t>P37 - P38</t>
  </si>
  <si>
    <t>P38 - P39</t>
  </si>
  <si>
    <t>P39 - P40</t>
  </si>
  <si>
    <t>P40 - P41</t>
  </si>
  <si>
    <t>P41 - P43</t>
  </si>
  <si>
    <t>P43 - P46</t>
  </si>
  <si>
    <t>P46 - P48</t>
  </si>
  <si>
    <t>P48 - P49</t>
  </si>
  <si>
    <t>P49 - P50</t>
  </si>
  <si>
    <t>P50 - P51</t>
  </si>
  <si>
    <t>P51 - P52</t>
  </si>
  <si>
    <t>P52 - P53</t>
  </si>
  <si>
    <t>P53 - P54</t>
  </si>
  <si>
    <t>P54 - P55</t>
  </si>
  <si>
    <t>P55 - P56</t>
  </si>
  <si>
    <t>P56 - P57</t>
  </si>
  <si>
    <t>P57 - P58</t>
  </si>
  <si>
    <t>P58 - P71</t>
  </si>
  <si>
    <t>P71 - P72</t>
  </si>
  <si>
    <t>P72 - P74</t>
  </si>
  <si>
    <t>P74 - P75</t>
  </si>
  <si>
    <t>P75 - P77</t>
  </si>
  <si>
    <t>P77 - P80</t>
  </si>
  <si>
    <t>P80 - P81</t>
  </si>
  <si>
    <t>P81 - P82</t>
  </si>
  <si>
    <t>P82 - P84</t>
  </si>
  <si>
    <t>P84 - P86</t>
  </si>
  <si>
    <t>P86 - P87</t>
  </si>
  <si>
    <t>P87 - P89</t>
  </si>
  <si>
    <t>P89 - P90</t>
  </si>
  <si>
    <t>P91 - P92</t>
  </si>
  <si>
    <t>P92 - P94</t>
  </si>
  <si>
    <t>P94 - P97</t>
  </si>
  <si>
    <t>P97 - P98</t>
  </si>
  <si>
    <t>P98 - P100</t>
  </si>
  <si>
    <t>P100 - P104</t>
  </si>
  <si>
    <t>P104 - P105</t>
  </si>
  <si>
    <t>P105 - P106</t>
  </si>
  <si>
    <t>P106 - P109</t>
  </si>
  <si>
    <t>P109 - P110</t>
  </si>
  <si>
    <t>P90 - P91</t>
  </si>
  <si>
    <t>P110 - P112</t>
  </si>
  <si>
    <t>P112 - P113</t>
  </si>
  <si>
    <t>P113 - P114</t>
  </si>
  <si>
    <t>P114 - P115</t>
  </si>
  <si>
    <t>P115 - P130</t>
  </si>
  <si>
    <t>P130 - P134</t>
  </si>
  <si>
    <t>P134 - P136</t>
  </si>
  <si>
    <t>P136 - P142</t>
  </si>
  <si>
    <t>P142 - P145</t>
  </si>
  <si>
    <t>P145 - A145</t>
  </si>
  <si>
    <t>A-145 - P146</t>
  </si>
  <si>
    <t>P146 - MPO6</t>
  </si>
  <si>
    <t>MPO6 - P155</t>
  </si>
  <si>
    <t>P155 - P156</t>
  </si>
  <si>
    <t>P156 - P157</t>
  </si>
  <si>
    <t>P157 - P158</t>
  </si>
  <si>
    <t>P158 - A158</t>
  </si>
  <si>
    <t>A158 - P160</t>
  </si>
  <si>
    <t>P160 - P161</t>
  </si>
  <si>
    <t>P161 - A161</t>
  </si>
  <si>
    <t>A161 - A166</t>
  </si>
  <si>
    <t>A166 - B168</t>
  </si>
  <si>
    <t>B168 - A168</t>
  </si>
  <si>
    <t>A168 - ABM</t>
  </si>
  <si>
    <t>ABM - BM6</t>
  </si>
  <si>
    <t>BM6 - P171</t>
  </si>
  <si>
    <t>P171 - P172</t>
  </si>
  <si>
    <t>P172 - A172</t>
  </si>
  <si>
    <t>A176 - P176</t>
  </si>
  <si>
    <t>P176 - P177</t>
  </si>
  <si>
    <t>A172 - A176</t>
  </si>
  <si>
    <t>P177 - P178</t>
  </si>
  <si>
    <t>P178 - P179</t>
  </si>
  <si>
    <t>P179 - P180</t>
  </si>
  <si>
    <t>P180 - P181</t>
  </si>
  <si>
    <t>P181 - P182</t>
  </si>
  <si>
    <t>P182 - P184</t>
  </si>
  <si>
    <t>P184 - P187</t>
  </si>
  <si>
    <t>P187 - P188</t>
  </si>
  <si>
    <t>P188 - P189</t>
  </si>
  <si>
    <t>P189 - A189</t>
  </si>
  <si>
    <t>A189 - P191</t>
  </si>
  <si>
    <t>P192 - P193</t>
  </si>
  <si>
    <t>P193 - P195</t>
  </si>
  <si>
    <t>P195 - P197</t>
  </si>
  <si>
    <t>P197 - P199</t>
  </si>
  <si>
    <t>P199 - P201</t>
  </si>
  <si>
    <t>P201 - P203</t>
  </si>
  <si>
    <t>P203 - P205</t>
  </si>
  <si>
    <t>P205 - P206</t>
  </si>
  <si>
    <t>P206 - P208</t>
  </si>
  <si>
    <t>P208 - P209</t>
  </si>
  <si>
    <t>P209 - P212</t>
  </si>
  <si>
    <t>P212 - P214</t>
  </si>
  <si>
    <t>P214 - P217</t>
  </si>
  <si>
    <t>P217 - P218</t>
  </si>
  <si>
    <t>P218 - P219</t>
  </si>
  <si>
    <t>P219 - P221</t>
  </si>
  <si>
    <t>P221 - P223</t>
  </si>
  <si>
    <t>P223 - P224</t>
  </si>
  <si>
    <t>P224 - P225</t>
  </si>
  <si>
    <t>P225 - A227</t>
  </si>
  <si>
    <t>P230 -A231</t>
  </si>
  <si>
    <t>A231 - P232</t>
  </si>
  <si>
    <t>P232 - P233</t>
  </si>
  <si>
    <t>A227 - CP7</t>
  </si>
  <si>
    <t>CP7 - P230</t>
  </si>
  <si>
    <t>P233 - P235</t>
  </si>
  <si>
    <t>P235 - P236</t>
  </si>
  <si>
    <t>P236 - P237</t>
  </si>
  <si>
    <t>P237 - P239</t>
  </si>
  <si>
    <t>P239 - P240</t>
  </si>
  <si>
    <t>P240 - P241</t>
  </si>
  <si>
    <t>P241 - P243</t>
  </si>
  <si>
    <t>P243 - P245</t>
  </si>
  <si>
    <t>P245 - P247</t>
  </si>
  <si>
    <t>P247 - P248</t>
  </si>
  <si>
    <t>P248 - P249</t>
  </si>
  <si>
    <t>P249 -P251</t>
  </si>
  <si>
    <t>P251 - P253</t>
  </si>
  <si>
    <t>P253 - P255</t>
  </si>
  <si>
    <t>P255 - P256</t>
  </si>
  <si>
    <t>P256 - P257</t>
  </si>
  <si>
    <t>P257 - P258</t>
  </si>
  <si>
    <t>P258 - P259</t>
  </si>
  <si>
    <t>P259 - BM8</t>
  </si>
  <si>
    <t>BM8 - CP8</t>
  </si>
  <si>
    <t>CP8 - P262</t>
  </si>
  <si>
    <t>P262 - P263</t>
  </si>
  <si>
    <t>P263 - P264</t>
  </si>
  <si>
    <t>P264 - P265</t>
  </si>
  <si>
    <t>P265 - P267</t>
  </si>
  <si>
    <t>P267 - P268</t>
  </si>
  <si>
    <t>P268 - P270</t>
  </si>
  <si>
    <t>P270 - P271</t>
  </si>
  <si>
    <t>P271 - P274</t>
  </si>
  <si>
    <t>P274 - P275</t>
  </si>
  <si>
    <t>P275 - P276</t>
  </si>
  <si>
    <t>P276 - P277</t>
  </si>
  <si>
    <t>P277 - P278</t>
  </si>
  <si>
    <t>P278 - P279</t>
  </si>
  <si>
    <t>P279 - P280</t>
  </si>
  <si>
    <t>P280 - P281</t>
  </si>
  <si>
    <t>P281 - P282</t>
  </si>
  <si>
    <t>P282 - P283</t>
  </si>
  <si>
    <t>P283 - P284</t>
  </si>
  <si>
    <t>P284 - P285</t>
  </si>
  <si>
    <t>P285 - P286</t>
  </si>
  <si>
    <t>P286 - P287</t>
  </si>
  <si>
    <t>P287 - P288</t>
  </si>
  <si>
    <t>P288 - P289</t>
  </si>
  <si>
    <t>P289 - BM9</t>
  </si>
  <si>
    <t>BM9 - P290</t>
  </si>
  <si>
    <t>P290 - P291</t>
  </si>
  <si>
    <t>P291 - P293</t>
  </si>
  <si>
    <t>P293 - P294</t>
  </si>
  <si>
    <t>P294 - P295</t>
  </si>
  <si>
    <t>P295 - P296</t>
  </si>
  <si>
    <t>P296 - P297</t>
  </si>
  <si>
    <t>P297 - P298</t>
  </si>
  <si>
    <t>P298 - P299</t>
  </si>
  <si>
    <t>P299 - A300</t>
  </si>
  <si>
    <t>A300 - A301</t>
  </si>
  <si>
    <t>A301 - P302</t>
  </si>
  <si>
    <t>Max Express Coin Loundry</t>
  </si>
  <si>
    <t>Jl. Gatot Subroto No 103b Bandara, Kec. Sungai Pinang</t>
  </si>
  <si>
    <t>Inbox Loundry</t>
  </si>
  <si>
    <t>Jl. Pramuka 3 No 103 Sempaja Selatan, Kec. Samarinda Utara</t>
  </si>
  <si>
    <t>90 - 100</t>
  </si>
  <si>
    <t>2700 - 3000</t>
  </si>
  <si>
    <t>Healthy Loundry</t>
  </si>
  <si>
    <t>Jl. Pramuka No 31 Gunung Kelua, Kec. Samarinda Ulu</t>
  </si>
  <si>
    <t>085216899698</t>
  </si>
  <si>
    <t>082260605373</t>
  </si>
  <si>
    <t>0541 - 748924</t>
  </si>
  <si>
    <t>Kampus Loundry</t>
  </si>
  <si>
    <t>Jl. Pramuka, Gunung Kelua, Kec. Samarinda Ulu</t>
  </si>
  <si>
    <t>082352239957</t>
  </si>
  <si>
    <t>Ristiara Laundry</t>
  </si>
  <si>
    <t>JL. Perjuangan UNMUL RT.003 No 27 Gunung Kelua, Kec. Samarinda Ulu</t>
  </si>
  <si>
    <t>082286005455</t>
  </si>
  <si>
    <t>Purple Loundry</t>
  </si>
  <si>
    <t>Jl. Perjuangan Sempaja Selatan, Samarinda Utara</t>
  </si>
  <si>
    <t>082317733444</t>
  </si>
  <si>
    <t>50 - 70</t>
  </si>
  <si>
    <t>1500 - 2100</t>
  </si>
  <si>
    <t>Mega Loundry</t>
  </si>
  <si>
    <t>Jl. Gatot Subroto No 01 Bandara, Kec. Sungai Pinang</t>
  </si>
  <si>
    <t>085225581888</t>
  </si>
  <si>
    <t>60 - 80</t>
  </si>
  <si>
    <t>1800 - 2400</t>
  </si>
  <si>
    <t>Jl. DR. Soetomo Sidodadi, Kec. Samarinda Ulu</t>
  </si>
  <si>
    <t>10 - 30</t>
  </si>
  <si>
    <t>300 - 900</t>
  </si>
  <si>
    <t>Daya Loundry</t>
  </si>
  <si>
    <t>0541-743745</t>
  </si>
  <si>
    <t>El Madinan Laundry</t>
  </si>
  <si>
    <t>Jl. Urip Sumoharjo No 32 Sidomulyo Kec. Samarinda Ilir</t>
  </si>
  <si>
    <t>40 - 60</t>
  </si>
  <si>
    <t>1200 - 1800</t>
  </si>
  <si>
    <t>Wozmi Laundry</t>
  </si>
  <si>
    <t>Jl. Biawan No 10 Sidomulyo, Kec. Samarinda Ilir</t>
  </si>
  <si>
    <t>60 - 100</t>
  </si>
  <si>
    <t>1800 - 3000</t>
  </si>
  <si>
    <t>R2 Loundry</t>
  </si>
  <si>
    <t>Jl. Sentosa Sungai Pinang Dalam, Kec. Sungai Pinang</t>
  </si>
  <si>
    <t xml:space="preserve">085273121603 </t>
  </si>
  <si>
    <t>B'Clean Coin Loundry</t>
  </si>
  <si>
    <t>Jl. Arief Rahman Hakim Sungai Pinang Luar, Kec. Samarinda Kota</t>
  </si>
  <si>
    <t>0541-2089439</t>
  </si>
  <si>
    <t>RJ Loundry</t>
  </si>
  <si>
    <t>Jl. D. I. Panjaitan Sungai Pinang Dalam, Kec. Sungai Pinang</t>
  </si>
  <si>
    <t>082250336959</t>
  </si>
  <si>
    <t>Premier Laundry</t>
  </si>
  <si>
    <t>Jl. Bukit Alaya No 01 Sungai Pinang Dalam, Kec. Sungai Pinang</t>
  </si>
  <si>
    <t>082240264888</t>
  </si>
  <si>
    <t>Emission Factor</t>
  </si>
  <si>
    <t xml:space="preserve">Conversion </t>
  </si>
  <si>
    <t>Min Rerata Per hari (kg)</t>
  </si>
  <si>
    <t>Max Rerata Per hari (kg)</t>
  </si>
  <si>
    <t>Mid Rerata Per bulan (kg)</t>
  </si>
  <si>
    <t xml:space="preserve">50 </t>
  </si>
  <si>
    <t>90</t>
  </si>
  <si>
    <t>60</t>
  </si>
  <si>
    <t>80</t>
  </si>
  <si>
    <t>50</t>
  </si>
  <si>
    <t>100</t>
  </si>
  <si>
    <t>70</t>
  </si>
  <si>
    <t>10</t>
  </si>
  <si>
    <t>30</t>
  </si>
  <si>
    <t>40</t>
  </si>
  <si>
    <t>Potensi Beban Pencemaran rerata (kg/hari)</t>
  </si>
  <si>
    <t>Potensi Beban Min (kg/hari)</t>
  </si>
  <si>
    <t>Potensi Beban Max (kg/hari)</t>
  </si>
  <si>
    <t>Conversion</t>
  </si>
  <si>
    <t>Kuda</t>
  </si>
  <si>
    <t xml:space="preserve">Kambing </t>
  </si>
  <si>
    <t>Angsa</t>
  </si>
  <si>
    <t>Bebek</t>
  </si>
  <si>
    <t>0 - 100 m</t>
  </si>
  <si>
    <t>100 - 500</t>
  </si>
  <si>
    <t>&gt; 500</t>
  </si>
  <si>
    <t>Pinggiran Kota</t>
  </si>
  <si>
    <t>Pedalaman</t>
  </si>
  <si>
    <t>Ladang</t>
  </si>
  <si>
    <t>Hutan</t>
  </si>
  <si>
    <t>Belukar</t>
  </si>
  <si>
    <t>Kebun Campuran</t>
  </si>
  <si>
    <t>Kebun</t>
  </si>
  <si>
    <t>Permukiman</t>
  </si>
  <si>
    <t>Perluasan Permukiman</t>
  </si>
  <si>
    <t>Rawa</t>
  </si>
  <si>
    <t>Semak</t>
  </si>
  <si>
    <t>Lahan Kosong 1</t>
  </si>
  <si>
    <t>Lahan Kosong 2</t>
  </si>
  <si>
    <t>Luas Area (Ha)</t>
  </si>
  <si>
    <t>Luas (Ha)</t>
  </si>
  <si>
    <t>Lahan Kosong 3</t>
  </si>
  <si>
    <t>Lahan Kosong 5</t>
  </si>
  <si>
    <t>Lahan Kosong 6</t>
  </si>
  <si>
    <t>Kuburan Muslimin</t>
  </si>
  <si>
    <t>Hutan Kota</t>
  </si>
  <si>
    <t>Hutan Balai Kota</t>
  </si>
  <si>
    <t>Lahan Kosong 7</t>
  </si>
  <si>
    <t>Lahan Kosong 9</t>
  </si>
  <si>
    <t>Lahan Kosong 8</t>
  </si>
  <si>
    <t>RTH Taman Samarendah</t>
  </si>
  <si>
    <t>Lahan Terbangun</t>
  </si>
  <si>
    <t>500 - 1000</t>
  </si>
  <si>
    <t>Lahan Kosong 10</t>
  </si>
  <si>
    <t>Lahan Kosong 11</t>
  </si>
  <si>
    <t>Lahan Kosong 12</t>
  </si>
  <si>
    <t>Lahan Kosong 13</t>
  </si>
  <si>
    <t>Lahan Kosong 14</t>
  </si>
  <si>
    <t>Lahan Kosong 15</t>
  </si>
  <si>
    <t xml:space="preserve">Lahan Kosong Ilir </t>
  </si>
  <si>
    <t>Lahan Kosong Ilir 2</t>
  </si>
  <si>
    <t>Lahan terbangun</t>
  </si>
  <si>
    <t>Lahan Kosong 17</t>
  </si>
  <si>
    <t>Lahan Kosong 18</t>
  </si>
  <si>
    <t>Lahan Kosong 20</t>
  </si>
  <si>
    <t>Sawah 1</t>
  </si>
  <si>
    <t>Sawah 2</t>
  </si>
  <si>
    <t>Hutan Alami</t>
  </si>
  <si>
    <t>Hutan 4</t>
  </si>
  <si>
    <t>Lahan Kosong 28</t>
  </si>
  <si>
    <t>Lahan Kosong 29</t>
  </si>
  <si>
    <t>Lahan Kosong 30</t>
  </si>
  <si>
    <t>Lahan Kosong 31</t>
  </si>
  <si>
    <t>Hutan Lamin Indah</t>
  </si>
  <si>
    <t>0 - 1000</t>
  </si>
  <si>
    <t>500 - 100</t>
  </si>
  <si>
    <t>0 - 100</t>
  </si>
  <si>
    <t>&gt; 1000</t>
  </si>
  <si>
    <t>Hutan Sentosa</t>
  </si>
  <si>
    <t>Hutan Alami Belakang Panjaitan</t>
  </si>
  <si>
    <t>Hutan Semak Belukar Utara</t>
  </si>
  <si>
    <t>Hutan Alami Utara</t>
  </si>
  <si>
    <t>Sawah Ladang</t>
  </si>
  <si>
    <t>Lahan Kosong 25  Hutan Semak Belukar</t>
  </si>
  <si>
    <t>Lahan Kosong 27 Semak Belukar</t>
  </si>
  <si>
    <t>Palawija</t>
  </si>
  <si>
    <t>Kg/Ha/hari</t>
  </si>
  <si>
    <t>Beban Terbuang</t>
  </si>
  <si>
    <t>Segmen 2</t>
  </si>
  <si>
    <t>Segmen 3</t>
  </si>
  <si>
    <t>Lahan Kosong Utara Hutan Semak Belukar</t>
  </si>
  <si>
    <t>Lahan Kosong Utara 2 Semak Belukar</t>
  </si>
  <si>
    <t>Dew Point</t>
  </si>
  <si>
    <r>
      <t>Dew Point (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>C)</t>
    </r>
  </si>
  <si>
    <t>Cloud Cover</t>
  </si>
  <si>
    <t>Sumber :</t>
  </si>
  <si>
    <t>https://globalsolaratlas.info</t>
  </si>
  <si>
    <t xml:space="preserve">Time </t>
  </si>
  <si>
    <t>Monthly Average</t>
  </si>
  <si>
    <t>Month</t>
  </si>
  <si>
    <t>Value</t>
  </si>
  <si>
    <t>Hour</t>
  </si>
  <si>
    <t>Hourly Average January</t>
  </si>
  <si>
    <t>Hourly Average February</t>
  </si>
  <si>
    <r>
      <t>Value (Wh/m</t>
    </r>
    <r>
      <rPr>
        <vertAlign val="superscript"/>
        <sz val="11"/>
        <color theme="1"/>
        <rFont val="Calibri"/>
        <family val="2"/>
        <scheme val="minor"/>
      </rPr>
      <t>2</t>
    </r>
    <r>
      <rPr>
        <sz val="11"/>
        <color theme="1"/>
        <rFont val="Calibri"/>
        <family val="2"/>
        <scheme val="minor"/>
      </rPr>
      <t>)</t>
    </r>
  </si>
  <si>
    <t>Samarinda Annual Average :</t>
  </si>
  <si>
    <r>
      <t>Kwh/m</t>
    </r>
    <r>
      <rPr>
        <b/>
        <vertAlign val="superscript"/>
        <sz val="12"/>
        <color theme="1"/>
        <rFont val="Calibri"/>
        <family val="2"/>
        <scheme val="minor"/>
      </rPr>
      <t>2</t>
    </r>
  </si>
  <si>
    <t>Hourly Average March</t>
  </si>
  <si>
    <t>Hourly Average April</t>
  </si>
  <si>
    <t>Hourly Average May</t>
  </si>
  <si>
    <t>Hourly Average Jun</t>
  </si>
  <si>
    <t>Hourly Average Jul</t>
  </si>
  <si>
    <t>Hourly Average Aug</t>
  </si>
  <si>
    <t>Hourly Average Sep</t>
  </si>
  <si>
    <t>Hourly Average Oct</t>
  </si>
  <si>
    <t>Hourly Average Nov</t>
  </si>
  <si>
    <t>Hourly Average Dec</t>
  </si>
  <si>
    <t>0 - 1</t>
  </si>
  <si>
    <t>1 - 2</t>
  </si>
  <si>
    <t>2 - 3</t>
  </si>
  <si>
    <t>3 - 4</t>
  </si>
  <si>
    <t>4 - 5</t>
  </si>
  <si>
    <t>5 - 6</t>
  </si>
  <si>
    <t>6 - 7</t>
  </si>
  <si>
    <t>7 - 8</t>
  </si>
  <si>
    <t>8 - 9</t>
  </si>
  <si>
    <t>9 - 10</t>
  </si>
  <si>
    <t>10 - 11</t>
  </si>
  <si>
    <t>11 - 12</t>
  </si>
  <si>
    <t>12 - 13</t>
  </si>
  <si>
    <t>13 - 14</t>
  </si>
  <si>
    <t>14 - 15</t>
  </si>
  <si>
    <t>15 - 16</t>
  </si>
  <si>
    <t>16 - 17</t>
  </si>
  <si>
    <t>18 - 19</t>
  </si>
  <si>
    <t>17 - 18</t>
  </si>
  <si>
    <t>19 - 20</t>
  </si>
  <si>
    <t>20 - 21</t>
  </si>
  <si>
    <t>21 - 22</t>
  </si>
  <si>
    <t>22 - 23</t>
  </si>
  <si>
    <t>23 - 24</t>
  </si>
  <si>
    <t>SUM</t>
  </si>
  <si>
    <t>Waktu</t>
  </si>
  <si>
    <t>Pusat Kota</t>
  </si>
  <si>
    <t>Sub Urban</t>
  </si>
  <si>
    <t>Pusat Kegiatan</t>
  </si>
  <si>
    <t>Daerah Hilir</t>
  </si>
  <si>
    <t>Daerah Hulu</t>
  </si>
  <si>
    <t>Solar Radiation (W/m2)</t>
  </si>
  <si>
    <t>Date</t>
  </si>
  <si>
    <t>Time</t>
  </si>
  <si>
    <t>Solar</t>
  </si>
  <si>
    <t>Air Temperature</t>
  </si>
  <si>
    <t>Temp</t>
  </si>
  <si>
    <t>Wind Speed</t>
  </si>
  <si>
    <t>Wind (m/s)</t>
  </si>
  <si>
    <t>Fraction</t>
  </si>
  <si>
    <t>Area Kajian</t>
  </si>
  <si>
    <t>Area Non Kajian</t>
  </si>
  <si>
    <t>Curah Hujan</t>
  </si>
  <si>
    <t>Jumlah Hari Hujan</t>
  </si>
  <si>
    <t>Temperature Rata-rata Bulanan</t>
  </si>
  <si>
    <t>Temperature Max</t>
  </si>
  <si>
    <t>Temperature Min</t>
  </si>
  <si>
    <t>Humidity</t>
  </si>
  <si>
    <r>
      <t>T-Max (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>C)</t>
    </r>
  </si>
  <si>
    <r>
      <t>T-Min (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>C)</t>
    </r>
  </si>
  <si>
    <r>
      <t>T-Avg (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>C)</t>
    </r>
  </si>
  <si>
    <t>Kecepatan Angin</t>
  </si>
  <si>
    <t>Tekanan Atmosfer</t>
  </si>
  <si>
    <t>Lama Penyinaran Matahari</t>
  </si>
  <si>
    <t>Tutupan Awan</t>
  </si>
  <si>
    <t>Jam</t>
  </si>
  <si>
    <t>Radiasi Matahari Rata-rata Bulanan</t>
  </si>
  <si>
    <t>Potensi Beban (kg/hari)</t>
  </si>
  <si>
    <t>Semak Belukar</t>
  </si>
  <si>
    <t>Jumlah Hotel</t>
  </si>
  <si>
    <t>Jumlah Rumah Sakit</t>
  </si>
  <si>
    <t>Jumlah Laundry</t>
  </si>
  <si>
    <t>PI</t>
  </si>
  <si>
    <t>STORET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</si>
</sst>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3" formatCode="_(* #,##0.00_);_(* \(#,##0.00\);_(* &quot;-&quot;??_);_(@_)"/>
    <numFmt numFmtId="164" formatCode="#,##0.0"/>
    <numFmt numFmtId="165" formatCode="#,##0.0000"/>
    <numFmt numFmtId="166" formatCode="#,##0.000"/>
    <numFmt numFmtId="167" formatCode="0.0"/>
    <numFmt numFmtId="168" formatCode="0.000000"/>
  </numFmts>
  <fonts count="2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name val="Arial"/>
      <family val="2"/>
    </font>
    <font>
      <b/>
      <sz val="11"/>
      <name val="Arial"/>
      <family val="2"/>
    </font>
    <font>
      <vertAlign val="superscript"/>
      <sz val="11"/>
      <name val="Arial"/>
      <family val="2"/>
    </font>
    <font>
      <sz val="11"/>
      <name val="Calibri"/>
      <family val="2"/>
    </font>
    <font>
      <sz val="9.35"/>
      <name val="Arial"/>
      <family val="2"/>
    </font>
    <font>
      <vertAlign val="subscript"/>
      <sz val="11"/>
      <name val="Arial"/>
      <family val="2"/>
    </font>
    <font>
      <sz val="11"/>
      <name val="Calibri"/>
    </font>
    <font>
      <sz val="11"/>
      <color rgb="FF000000"/>
      <name val="Calibri"/>
      <family val="2"/>
    </font>
    <font>
      <b/>
      <sz val="9"/>
      <name val="Arial"/>
      <family val="2"/>
    </font>
    <font>
      <sz val="9"/>
      <name val="Arial"/>
      <family val="2"/>
    </font>
    <font>
      <vertAlign val="superscript"/>
      <sz val="9"/>
      <name val="Arial"/>
      <family val="2"/>
    </font>
    <font>
      <sz val="9"/>
      <name val="Calibri"/>
      <family val="2"/>
    </font>
    <font>
      <vertAlign val="subscript"/>
      <sz val="9"/>
      <name val="Arial"/>
      <family val="2"/>
    </font>
    <font>
      <b/>
      <sz val="11"/>
      <color theme="1"/>
      <name val="Calibri"/>
      <family val="2"/>
      <scheme val="minor"/>
    </font>
    <font>
      <vertAlign val="superscript"/>
      <sz val="11"/>
      <color theme="1"/>
      <name val="Calibri"/>
      <family val="2"/>
      <scheme val="minor"/>
    </font>
    <font>
      <b/>
      <vertAlign val="superscript"/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vertAlign val="superscript"/>
      <sz val="12"/>
      <color theme="1"/>
      <name val="Calibri"/>
      <family val="2"/>
      <scheme val="minor"/>
    </font>
  </fonts>
  <fills count="15">
    <fill>
      <patternFill patternType="none"/>
    </fill>
    <fill>
      <patternFill patternType="gray125"/>
    </fill>
    <fill>
      <patternFill patternType="solid">
        <fgColor theme="2" tint="-0.249977111117893"/>
        <bgColor indexed="64"/>
      </patternFill>
    </fill>
    <fill>
      <patternFill patternType="solid">
        <fgColor rgb="FF9DCC7A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7" tint="0.39997558519241921"/>
        <bgColor indexed="64"/>
      </patternFill>
    </fill>
  </fills>
  <borders count="2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/>
      <right/>
      <top style="thick">
        <color auto="1"/>
      </top>
      <bottom style="thick">
        <color auto="1"/>
      </bottom>
      <diagonal/>
    </border>
    <border>
      <left/>
      <right/>
      <top style="double">
        <color auto="1"/>
      </top>
      <bottom style="double">
        <color auto="1"/>
      </bottom>
      <diagonal/>
    </border>
    <border>
      <left/>
      <right/>
      <top style="double">
        <color auto="1"/>
      </top>
      <bottom/>
      <diagonal/>
    </border>
    <border>
      <left/>
      <right/>
      <top/>
      <bottom style="double">
        <color auto="1"/>
      </bottom>
      <diagonal/>
    </border>
  </borders>
  <cellStyleXfs count="7">
    <xf numFmtId="0" fontId="0" fillId="0" borderId="0"/>
    <xf numFmtId="43" fontId="1" fillId="0" borderId="0" applyFont="0" applyFill="0" applyBorder="0" applyAlignment="0" applyProtection="0"/>
    <xf numFmtId="0" fontId="8" fillId="0" borderId="0">
      <alignment vertical="center"/>
    </xf>
    <xf numFmtId="0" fontId="5" fillId="0" borderId="0">
      <alignment vertical="center"/>
    </xf>
    <xf numFmtId="9" fontId="9" fillId="0" borderId="0">
      <alignment vertical="top"/>
      <protection locked="0"/>
    </xf>
    <xf numFmtId="9" fontId="1" fillId="0" borderId="0" applyFont="0" applyFill="0" applyBorder="0" applyAlignment="0" applyProtection="0"/>
    <xf numFmtId="0" fontId="18" fillId="0" borderId="0" applyNumberFormat="0" applyFill="0" applyBorder="0" applyAlignment="0" applyProtection="0"/>
  </cellStyleXfs>
  <cellXfs count="274">
    <xf numFmtId="0" fontId="0" fillId="0" borderId="0" xfId="0"/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0" xfId="0"/>
    <xf numFmtId="0" fontId="2" fillId="0" borderId="1" xfId="0" applyNumberFormat="1" applyFont="1" applyFill="1" applyBorder="1" applyAlignment="1">
      <alignment horizontal="center" vertical="center"/>
    </xf>
    <xf numFmtId="3" fontId="2" fillId="0" borderId="1" xfId="0" applyNumberFormat="1" applyFont="1" applyFill="1" applyBorder="1" applyAlignment="1">
      <alignment horizontal="center" vertical="center"/>
    </xf>
    <xf numFmtId="164" fontId="2" fillId="0" borderId="1" xfId="0" applyNumberFormat="1" applyFont="1" applyFill="1" applyBorder="1" applyAlignment="1">
      <alignment horizontal="center" vertical="center"/>
    </xf>
    <xf numFmtId="4" fontId="2" fillId="0" borderId="1" xfId="0" applyNumberFormat="1" applyFont="1" applyFill="1" applyBorder="1" applyAlignment="1">
      <alignment horizontal="center" vertical="center"/>
    </xf>
    <xf numFmtId="165" fontId="2" fillId="0" borderId="1" xfId="0" applyNumberFormat="1" applyFont="1" applyFill="1" applyBorder="1" applyAlignment="1">
      <alignment horizontal="center" vertical="center"/>
    </xf>
    <xf numFmtId="166" fontId="2" fillId="0" borderId="1" xfId="0" applyNumberFormat="1" applyFont="1" applyFill="1" applyBorder="1" applyAlignment="1">
      <alignment horizontal="center" vertical="center"/>
    </xf>
    <xf numFmtId="3" fontId="2" fillId="0" borderId="1" xfId="0" quotePrefix="1" applyNumberFormat="1" applyFont="1" applyFill="1" applyBorder="1" applyAlignment="1">
      <alignment horizontal="center" vertical="center"/>
    </xf>
    <xf numFmtId="3" fontId="2" fillId="0" borderId="1" xfId="1" quotePrefix="1" applyNumberFormat="1" applyFont="1" applyFill="1" applyBorder="1" applyAlignment="1">
      <alignment horizontal="center" vertical="center"/>
    </xf>
    <xf numFmtId="164" fontId="2" fillId="0" borderId="1" xfId="0" quotePrefix="1" applyNumberFormat="1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2" xfId="0" applyFont="1" applyFill="1" applyBorder="1" applyAlignment="1">
      <alignment vertical="center"/>
    </xf>
    <xf numFmtId="0" fontId="2" fillId="0" borderId="7" xfId="0" applyFont="1" applyFill="1" applyBorder="1" applyAlignment="1">
      <alignment vertical="center"/>
    </xf>
    <xf numFmtId="0" fontId="2" fillId="0" borderId="3" xfId="0" applyFont="1" applyFill="1" applyBorder="1" applyAlignment="1">
      <alignment vertical="center"/>
    </xf>
    <xf numFmtId="0" fontId="2" fillId="0" borderId="1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4" fontId="2" fillId="0" borderId="1" xfId="0" quotePrefix="1" applyNumberFormat="1" applyFont="1" applyFill="1" applyBorder="1" applyAlignment="1">
      <alignment horizontal="center" vertical="center"/>
    </xf>
    <xf numFmtId="0" fontId="2" fillId="0" borderId="1" xfId="0" quotePrefix="1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2" fillId="0" borderId="2" xfId="0" applyFont="1" applyBorder="1" applyAlignment="1">
      <alignment vertical="center"/>
    </xf>
    <xf numFmtId="0" fontId="2" fillId="0" borderId="7" xfId="0" applyFont="1" applyBorder="1" applyAlignment="1">
      <alignment vertical="center"/>
    </xf>
    <xf numFmtId="0" fontId="2" fillId="0" borderId="3" xfId="0" applyFont="1" applyBorder="1" applyAlignment="1">
      <alignment vertical="center"/>
    </xf>
    <xf numFmtId="0" fontId="2" fillId="0" borderId="1" xfId="0" applyFont="1" applyBorder="1" applyAlignment="1">
      <alignment vertical="center"/>
    </xf>
    <xf numFmtId="3" fontId="2" fillId="0" borderId="1" xfId="1" applyNumberFormat="1" applyFont="1" applyFill="1" applyBorder="1" applyAlignment="1">
      <alignment horizontal="center" vertical="center"/>
    </xf>
    <xf numFmtId="0" fontId="2" fillId="0" borderId="2" xfId="0" quotePrefix="1" applyFont="1" applyFill="1" applyBorder="1" applyAlignment="1">
      <alignment vertical="center"/>
    </xf>
    <xf numFmtId="0" fontId="2" fillId="0" borderId="1" xfId="0" quotePrefix="1" applyFont="1" applyFill="1" applyBorder="1" applyAlignment="1">
      <alignment horizontal="center" vertical="center" wrapText="1"/>
    </xf>
    <xf numFmtId="0" fontId="2" fillId="4" borderId="1" xfId="0" applyFont="1" applyFill="1" applyBorder="1" applyAlignment="1">
      <alignment horizontal="center" vertical="center"/>
    </xf>
    <xf numFmtId="4" fontId="2" fillId="4" borderId="1" xfId="0" quotePrefix="1" applyNumberFormat="1" applyFont="1" applyFill="1" applyBorder="1" applyAlignment="1">
      <alignment horizontal="center" vertical="center"/>
    </xf>
    <xf numFmtId="3" fontId="2" fillId="4" borderId="1" xfId="1" quotePrefix="1" applyNumberFormat="1" applyFont="1" applyFill="1" applyBorder="1" applyAlignment="1">
      <alignment horizontal="center" vertical="center"/>
    </xf>
    <xf numFmtId="0" fontId="2" fillId="4" borderId="1" xfId="0" quotePrefix="1" applyFont="1" applyFill="1" applyBorder="1" applyAlignment="1">
      <alignment horizontal="center" vertical="center" wrapText="1"/>
    </xf>
    <xf numFmtId="166" fontId="2" fillId="0" borderId="1" xfId="0" quotePrefix="1" applyNumberFormat="1" applyFont="1" applyFill="1" applyBorder="1" applyAlignment="1">
      <alignment horizontal="center" vertical="center"/>
    </xf>
    <xf numFmtId="0" fontId="2" fillId="0" borderId="1" xfId="0" quotePrefix="1" applyFont="1" applyBorder="1" applyAlignment="1">
      <alignment horizontal="center" vertical="center"/>
    </xf>
    <xf numFmtId="166" fontId="2" fillId="4" borderId="1" xfId="0" quotePrefix="1" applyNumberFormat="1" applyFont="1" applyFill="1" applyBorder="1" applyAlignment="1">
      <alignment horizontal="center" vertical="center"/>
    </xf>
    <xf numFmtId="165" fontId="2" fillId="4" borderId="1" xfId="0" quotePrefix="1" applyNumberFormat="1" applyFont="1" applyFill="1" applyBorder="1" applyAlignment="1">
      <alignment horizontal="center" vertical="center"/>
    </xf>
    <xf numFmtId="0" fontId="2" fillId="4" borderId="1" xfId="0" quotePrefix="1" applyFont="1" applyFill="1" applyBorder="1" applyAlignment="1">
      <alignment horizontal="center" vertical="center"/>
    </xf>
    <xf numFmtId="167" fontId="2" fillId="0" borderId="1" xfId="0" quotePrefix="1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1" fillId="0" borderId="2" xfId="0" applyFont="1" applyFill="1" applyBorder="1" applyAlignment="1">
      <alignment vertical="center"/>
    </xf>
    <xf numFmtId="0" fontId="11" fillId="0" borderId="7" xfId="0" applyFont="1" applyFill="1" applyBorder="1" applyAlignment="1">
      <alignment vertical="center"/>
    </xf>
    <xf numFmtId="0" fontId="11" fillId="0" borderId="3" xfId="0" applyFont="1" applyFill="1" applyBorder="1" applyAlignment="1">
      <alignment vertical="center"/>
    </xf>
    <xf numFmtId="0" fontId="11" fillId="0" borderId="1" xfId="0" quotePrefix="1" applyFont="1" applyFill="1" applyBorder="1" applyAlignment="1">
      <alignment horizontal="center" vertical="center"/>
    </xf>
    <xf numFmtId="0" fontId="11" fillId="0" borderId="2" xfId="0" applyFont="1" applyFill="1" applyBorder="1" applyAlignment="1">
      <alignment horizontal="center" vertical="center"/>
    </xf>
    <xf numFmtId="4" fontId="11" fillId="0" borderId="1" xfId="0" quotePrefix="1" applyNumberFormat="1" applyFont="1" applyFill="1" applyBorder="1" applyAlignment="1">
      <alignment horizontal="center" vertical="center"/>
    </xf>
    <xf numFmtId="3" fontId="11" fillId="0" borderId="1" xfId="0" applyNumberFormat="1" applyFont="1" applyFill="1" applyBorder="1" applyAlignment="1">
      <alignment horizontal="center" vertical="center"/>
    </xf>
    <xf numFmtId="164" fontId="11" fillId="0" borderId="1" xfId="0" applyNumberFormat="1" applyFont="1" applyFill="1" applyBorder="1" applyAlignment="1">
      <alignment horizontal="center" vertical="center"/>
    </xf>
    <xf numFmtId="0" fontId="11" fillId="0" borderId="1" xfId="0" applyNumberFormat="1" applyFont="1" applyFill="1" applyBorder="1" applyAlignment="1">
      <alignment horizontal="center" vertical="center"/>
    </xf>
    <xf numFmtId="165" fontId="11" fillId="0" borderId="1" xfId="0" applyNumberFormat="1" applyFont="1" applyFill="1" applyBorder="1" applyAlignment="1">
      <alignment horizontal="center" vertical="center"/>
    </xf>
    <xf numFmtId="166" fontId="11" fillId="0" borderId="1" xfId="0" applyNumberFormat="1" applyFont="1" applyFill="1" applyBorder="1" applyAlignment="1">
      <alignment horizontal="center" vertical="center"/>
    </xf>
    <xf numFmtId="4" fontId="11" fillId="0" borderId="1" xfId="0" applyNumberFormat="1" applyFont="1" applyFill="1" applyBorder="1" applyAlignment="1">
      <alignment horizontal="center" vertical="center"/>
    </xf>
    <xf numFmtId="164" fontId="11" fillId="0" borderId="1" xfId="0" quotePrefix="1" applyNumberFormat="1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/>
    </xf>
    <xf numFmtId="166" fontId="11" fillId="0" borderId="1" xfId="0" quotePrefix="1" applyNumberFormat="1" applyFont="1" applyFill="1" applyBorder="1" applyAlignment="1">
      <alignment horizontal="center" vertical="center"/>
    </xf>
    <xf numFmtId="3" fontId="11" fillId="0" borderId="1" xfId="0" quotePrefix="1" applyNumberFormat="1" applyFont="1" applyFill="1" applyBorder="1" applyAlignment="1">
      <alignment horizontal="center" vertical="center"/>
    </xf>
    <xf numFmtId="3" fontId="11" fillId="0" borderId="1" xfId="1" quotePrefix="1" applyNumberFormat="1" applyFont="1" applyFill="1" applyBorder="1" applyAlignment="1">
      <alignment horizontal="center" vertical="center"/>
    </xf>
    <xf numFmtId="3" fontId="11" fillId="0" borderId="1" xfId="1" applyNumberFormat="1" applyFont="1" applyFill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11" fillId="0" borderId="1" xfId="0" applyFont="1" applyBorder="1" applyAlignment="1">
      <alignment vertical="center"/>
    </xf>
    <xf numFmtId="0" fontId="11" fillId="0" borderId="1" xfId="0" applyFont="1" applyFill="1" applyBorder="1" applyAlignment="1">
      <alignment vertical="center"/>
    </xf>
    <xf numFmtId="0" fontId="11" fillId="0" borderId="2" xfId="0" quotePrefix="1" applyFont="1" applyFill="1" applyBorder="1" applyAlignment="1">
      <alignment vertical="center"/>
    </xf>
    <xf numFmtId="0" fontId="0" fillId="0" borderId="1" xfId="0" applyBorder="1"/>
    <xf numFmtId="0" fontId="0" fillId="5" borderId="1" xfId="0" applyFill="1" applyBorder="1" applyAlignment="1">
      <alignment horizontal="center"/>
    </xf>
    <xf numFmtId="0" fontId="0" fillId="5" borderId="1" xfId="0" applyFill="1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0" fontId="0" fillId="5" borderId="1" xfId="0" applyFill="1" applyBorder="1" applyAlignment="1">
      <alignment horizontal="left" vertical="center"/>
    </xf>
    <xf numFmtId="0" fontId="0" fillId="0" borderId="1" xfId="0" applyBorder="1" applyAlignment="1">
      <alignment horizontal="left" vertical="center"/>
    </xf>
    <xf numFmtId="0" fontId="0" fillId="0" borderId="0" xfId="0" applyAlignment="1">
      <alignment horizontal="left" vertical="center"/>
    </xf>
    <xf numFmtId="0" fontId="0" fillId="0" borderId="1" xfId="0" applyBorder="1" applyAlignment="1">
      <alignment horizontal="left" vertical="center" wrapText="1"/>
    </xf>
    <xf numFmtId="0" fontId="0" fillId="0" borderId="1" xfId="0" applyBorder="1" applyAlignment="1">
      <alignment vertical="center" wrapText="1"/>
    </xf>
    <xf numFmtId="0" fontId="0" fillId="0" borderId="1" xfId="0" quotePrefix="1" applyBorder="1" applyAlignment="1">
      <alignment horizontal="center" vertical="center" wrapText="1"/>
    </xf>
    <xf numFmtId="16" fontId="0" fillId="0" borderId="1" xfId="0" quotePrefix="1" applyNumberFormat="1" applyBorder="1" applyAlignment="1">
      <alignment horizontal="center" vertical="center"/>
    </xf>
    <xf numFmtId="0" fontId="0" fillId="0" borderId="1" xfId="0" quotePrefix="1" applyBorder="1" applyAlignment="1">
      <alignment horizontal="center" vertical="center"/>
    </xf>
    <xf numFmtId="0" fontId="0" fillId="5" borderId="1" xfId="0" applyFill="1" applyBorder="1" applyAlignment="1">
      <alignment horizontal="center" vertical="center" wrapText="1"/>
    </xf>
    <xf numFmtId="0" fontId="0" fillId="5" borderId="4" xfId="0" applyFill="1" applyBorder="1" applyAlignment="1">
      <alignment horizontal="left"/>
    </xf>
    <xf numFmtId="0" fontId="0" fillId="5" borderId="6" xfId="0" applyFill="1" applyBorder="1" applyAlignment="1">
      <alignment horizontal="right"/>
    </xf>
    <xf numFmtId="0" fontId="0" fillId="0" borderId="1" xfId="0" applyBorder="1" applyAlignment="1">
      <alignment horizontal="right" vertical="center" wrapText="1"/>
    </xf>
    <xf numFmtId="0" fontId="0" fillId="6" borderId="1" xfId="0" applyFill="1" applyBorder="1" applyAlignment="1">
      <alignment horizontal="center" vertical="center"/>
    </xf>
    <xf numFmtId="0" fontId="0" fillId="7" borderId="1" xfId="0" applyFill="1" applyBorder="1" applyAlignment="1">
      <alignment horizontal="right" vertical="center" wrapText="1"/>
    </xf>
    <xf numFmtId="0" fontId="0" fillId="7" borderId="1" xfId="0" applyFill="1" applyBorder="1" applyAlignment="1">
      <alignment horizontal="center" vertical="center"/>
    </xf>
    <xf numFmtId="0" fontId="0" fillId="6" borderId="1" xfId="0" applyFill="1" applyBorder="1" applyAlignment="1">
      <alignment vertical="center" wrapText="1"/>
    </xf>
    <xf numFmtId="0" fontId="15" fillId="0" borderId="1" xfId="0" applyFont="1" applyBorder="1" applyAlignment="1">
      <alignment horizontal="center" vertical="center"/>
    </xf>
    <xf numFmtId="0" fontId="15" fillId="8" borderId="1" xfId="0" applyFont="1" applyFill="1" applyBorder="1" applyAlignment="1">
      <alignment horizontal="center" vertical="center"/>
    </xf>
    <xf numFmtId="2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right" vertical="center"/>
    </xf>
    <xf numFmtId="0" fontId="0" fillId="5" borderId="6" xfId="0" applyFill="1" applyBorder="1" applyAlignment="1">
      <alignment horizontal="center" vertical="center" wrapText="1"/>
    </xf>
    <xf numFmtId="0" fontId="0" fillId="5" borderId="6" xfId="0" applyFill="1" applyBorder="1"/>
    <xf numFmtId="0" fontId="15" fillId="0" borderId="1" xfId="0" applyFont="1" applyBorder="1" applyAlignment="1">
      <alignment horizontal="left" vertical="center"/>
    </xf>
    <xf numFmtId="167" fontId="15" fillId="0" borderId="1" xfId="0" applyNumberFormat="1" applyFont="1" applyBorder="1"/>
    <xf numFmtId="1" fontId="15" fillId="0" borderId="1" xfId="0" applyNumberFormat="1" applyFont="1" applyBorder="1"/>
    <xf numFmtId="0" fontId="0" fillId="0" borderId="5" xfId="0" applyFill="1" applyBorder="1"/>
    <xf numFmtId="0" fontId="0" fillId="0" borderId="1" xfId="0" quotePrefix="1" applyBorder="1" applyAlignment="1">
      <alignment horizontal="right" vertical="center"/>
    </xf>
    <xf numFmtId="0" fontId="15" fillId="5" borderId="1" xfId="0" applyFont="1" applyFill="1" applyBorder="1" applyAlignment="1">
      <alignment horizontal="center" vertical="center"/>
    </xf>
    <xf numFmtId="0" fontId="0" fillId="0" borderId="0" xfId="0" applyAlignment="1">
      <alignment horizontal="right"/>
    </xf>
    <xf numFmtId="2" fontId="0" fillId="0" borderId="1" xfId="5" applyNumberFormat="1" applyFont="1" applyBorder="1" applyAlignment="1">
      <alignment horizontal="center" vertical="center"/>
    </xf>
    <xf numFmtId="0" fontId="0" fillId="0" borderId="0" xfId="0" applyFill="1" applyBorder="1"/>
    <xf numFmtId="0" fontId="0" fillId="0" borderId="0" xfId="0" applyFill="1" applyBorder="1" applyAlignment="1">
      <alignment horizontal="center" vertical="center"/>
    </xf>
    <xf numFmtId="167" fontId="0" fillId="0" borderId="1" xfId="0" applyNumberFormat="1" applyBorder="1"/>
    <xf numFmtId="0" fontId="0" fillId="0" borderId="0" xfId="0" applyAlignment="1">
      <alignment horizontal="right" vertical="center"/>
    </xf>
    <xf numFmtId="0" fontId="0" fillId="0" borderId="0" xfId="0" applyFill="1" applyBorder="1" applyAlignment="1">
      <alignment horizontal="right" vertical="center"/>
    </xf>
    <xf numFmtId="2" fontId="0" fillId="0" borderId="0" xfId="0" applyNumberFormat="1"/>
    <xf numFmtId="0" fontId="0" fillId="0" borderId="0" xfId="0" applyAlignment="1">
      <alignment wrapText="1"/>
    </xf>
    <xf numFmtId="0" fontId="0" fillId="0" borderId="0" xfId="0" applyAlignment="1">
      <alignment horizontal="center" vertical="center" wrapText="1"/>
    </xf>
    <xf numFmtId="0" fontId="15" fillId="0" borderId="0" xfId="0" applyFont="1" applyAlignment="1">
      <alignment horizontal="center" vertical="center" wrapText="1"/>
    </xf>
    <xf numFmtId="0" fontId="15" fillId="0" borderId="16" xfId="0" applyFont="1" applyBorder="1" applyAlignment="1">
      <alignment horizontal="center" vertical="center" wrapText="1"/>
    </xf>
    <xf numFmtId="0" fontId="0" fillId="0" borderId="16" xfId="0" applyBorder="1"/>
    <xf numFmtId="2" fontId="0" fillId="0" borderId="0" xfId="0" applyNumberFormat="1" applyAlignment="1">
      <alignment horizontal="center" vertical="center"/>
    </xf>
    <xf numFmtId="0" fontId="15" fillId="0" borderId="16" xfId="0" applyFont="1" applyBorder="1" applyAlignment="1">
      <alignment horizontal="center" vertical="center"/>
    </xf>
    <xf numFmtId="0" fontId="15" fillId="0" borderId="16" xfId="0" applyFont="1" applyBorder="1" applyAlignment="1">
      <alignment wrapText="1"/>
    </xf>
    <xf numFmtId="2" fontId="15" fillId="0" borderId="16" xfId="0" applyNumberFormat="1" applyFont="1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/>
    </xf>
    <xf numFmtId="49" fontId="0" fillId="0" borderId="1" xfId="0" quotePrefix="1" applyNumberFormat="1" applyBorder="1" applyAlignment="1">
      <alignment horizontal="center" vertical="center"/>
    </xf>
    <xf numFmtId="0" fontId="0" fillId="5" borderId="1" xfId="0" applyFill="1" applyBorder="1" applyAlignment="1">
      <alignment horizontal="center" wrapText="1"/>
    </xf>
    <xf numFmtId="2" fontId="15" fillId="0" borderId="1" xfId="0" applyNumberFormat="1" applyFont="1" applyBorder="1" applyAlignment="1">
      <alignment horizontal="center" vertical="center"/>
    </xf>
    <xf numFmtId="2" fontId="15" fillId="5" borderId="1" xfId="0" applyNumberFormat="1" applyFont="1" applyFill="1" applyBorder="1" applyAlignment="1">
      <alignment horizontal="center" vertical="center"/>
    </xf>
    <xf numFmtId="0" fontId="0" fillId="0" borderId="0" xfId="0" applyAlignment="1">
      <alignment horizontal="left"/>
    </xf>
    <xf numFmtId="2" fontId="0" fillId="7" borderId="1" xfId="0" applyNumberFormat="1" applyFill="1" applyBorder="1" applyAlignment="1">
      <alignment horizontal="center" vertical="center"/>
    </xf>
    <xf numFmtId="0" fontId="0" fillId="7" borderId="1" xfId="0" quotePrefix="1" applyFill="1" applyBorder="1" applyAlignment="1">
      <alignment horizontal="center" vertical="center" wrapText="1"/>
    </xf>
    <xf numFmtId="0" fontId="0" fillId="7" borderId="0" xfId="0" applyFill="1" applyBorder="1"/>
    <xf numFmtId="0" fontId="0" fillId="7" borderId="5" xfId="0" applyFill="1" applyBorder="1" applyAlignment="1">
      <alignment horizontal="center" vertical="center"/>
    </xf>
    <xf numFmtId="2" fontId="0" fillId="7" borderId="1" xfId="5" applyNumberFormat="1" applyFont="1" applyFill="1" applyBorder="1" applyAlignment="1">
      <alignment horizontal="center" vertical="center"/>
    </xf>
    <xf numFmtId="0" fontId="0" fillId="7" borderId="1" xfId="0" applyFill="1" applyBorder="1"/>
    <xf numFmtId="167" fontId="0" fillId="7" borderId="1" xfId="0" applyNumberFormat="1" applyFill="1" applyBorder="1"/>
    <xf numFmtId="2" fontId="0" fillId="9" borderId="0" xfId="0" applyNumberFormat="1" applyFill="1"/>
    <xf numFmtId="0" fontId="0" fillId="9" borderId="0" xfId="0" applyFill="1"/>
    <xf numFmtId="2" fontId="0" fillId="10" borderId="1" xfId="0" applyNumberFormat="1" applyFill="1" applyBorder="1" applyAlignment="1">
      <alignment horizontal="center" vertical="center"/>
    </xf>
    <xf numFmtId="0" fontId="0" fillId="10" borderId="1" xfId="0" quotePrefix="1" applyFill="1" applyBorder="1" applyAlignment="1">
      <alignment horizontal="center" vertical="center" wrapText="1"/>
    </xf>
    <xf numFmtId="2" fontId="15" fillId="11" borderId="1" xfId="0" applyNumberFormat="1" applyFont="1" applyFill="1" applyBorder="1" applyAlignment="1">
      <alignment horizontal="center" vertical="center"/>
    </xf>
    <xf numFmtId="0" fontId="0" fillId="11" borderId="5" xfId="0" applyFill="1" applyBorder="1" applyAlignment="1">
      <alignment horizontal="center" vertical="center"/>
    </xf>
    <xf numFmtId="0" fontId="0" fillId="11" borderId="0" xfId="0" applyFill="1" applyAlignment="1">
      <alignment horizontal="center" vertical="center"/>
    </xf>
    <xf numFmtId="9" fontId="0" fillId="0" borderId="0" xfId="5" applyFont="1"/>
    <xf numFmtId="0" fontId="0" fillId="0" borderId="1" xfId="0" applyFill="1" applyBorder="1" applyAlignment="1">
      <alignment horizontal="center" vertical="center"/>
    </xf>
    <xf numFmtId="0" fontId="18" fillId="0" borderId="0" xfId="6"/>
    <xf numFmtId="21" fontId="0" fillId="0" borderId="0" xfId="0" applyNumberFormat="1"/>
    <xf numFmtId="0" fontId="0" fillId="0" borderId="0" xfId="0" applyAlignment="1">
      <alignment vertical="center" textRotation="90"/>
    </xf>
    <xf numFmtId="0" fontId="15" fillId="12" borderId="1" xfId="0" applyFont="1" applyFill="1" applyBorder="1" applyAlignment="1">
      <alignment horizontal="center" vertical="center"/>
    </xf>
    <xf numFmtId="0" fontId="0" fillId="12" borderId="1" xfId="0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14" fontId="0" fillId="0" borderId="0" xfId="0" applyNumberFormat="1"/>
    <xf numFmtId="0" fontId="0" fillId="0" borderId="0" xfId="0" applyBorder="1" applyAlignment="1">
      <alignment vertical="center"/>
    </xf>
    <xf numFmtId="0" fontId="15" fillId="0" borderId="16" xfId="0" applyFont="1" applyBorder="1"/>
    <xf numFmtId="167" fontId="0" fillId="0" borderId="0" xfId="0" applyNumberFormat="1"/>
    <xf numFmtId="1" fontId="0" fillId="0" borderId="0" xfId="0" applyNumberFormat="1"/>
    <xf numFmtId="167" fontId="15" fillId="0" borderId="0" xfId="0" applyNumberFormat="1" applyFont="1"/>
    <xf numFmtId="1" fontId="15" fillId="0" borderId="0" xfId="0" applyNumberFormat="1" applyFont="1"/>
    <xf numFmtId="0" fontId="0" fillId="0" borderId="0" xfId="0" applyBorder="1" applyAlignment="1">
      <alignment horizontal="right" vertical="center"/>
    </xf>
    <xf numFmtId="0" fontId="0" fillId="0" borderId="0" xfId="0" applyFill="1" applyBorder="1" applyAlignment="1">
      <alignment horizontal="left" vertical="center"/>
    </xf>
    <xf numFmtId="167" fontId="0" fillId="0" borderId="0" xfId="0" applyNumberFormat="1" applyAlignment="1">
      <alignment horizontal="center" vertical="center"/>
    </xf>
    <xf numFmtId="0" fontId="15" fillId="0" borderId="0" xfId="0" applyNumberFormat="1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49" fontId="15" fillId="0" borderId="0" xfId="0" applyNumberFormat="1" applyFont="1" applyBorder="1" applyAlignment="1">
      <alignment horizontal="center" vertical="center"/>
    </xf>
    <xf numFmtId="0" fontId="15" fillId="0" borderId="18" xfId="0" applyFont="1" applyBorder="1" applyAlignment="1">
      <alignment horizontal="right"/>
    </xf>
    <xf numFmtId="0" fontId="15" fillId="0" borderId="19" xfId="0" applyFont="1" applyBorder="1" applyAlignment="1">
      <alignment horizontal="left" vertical="center" wrapText="1"/>
    </xf>
    <xf numFmtId="49" fontId="15" fillId="0" borderId="17" xfId="0" applyNumberFormat="1" applyFont="1" applyFill="1" applyBorder="1" applyAlignment="1">
      <alignment horizontal="center" vertical="center"/>
    </xf>
    <xf numFmtId="0" fontId="15" fillId="0" borderId="17" xfId="0" applyFont="1" applyBorder="1" applyAlignment="1">
      <alignment horizontal="center" vertical="center"/>
    </xf>
    <xf numFmtId="168" fontId="0" fillId="0" borderId="0" xfId="0" applyNumberFormat="1"/>
    <xf numFmtId="0" fontId="11" fillId="13" borderId="1" xfId="0" quotePrefix="1" applyFont="1" applyFill="1" applyBorder="1" applyAlignment="1">
      <alignment horizontal="center" vertical="center" wrapText="1"/>
    </xf>
    <xf numFmtId="0" fontId="11" fillId="14" borderId="1" xfId="0" applyFont="1" applyFill="1" applyBorder="1" applyAlignment="1">
      <alignment horizontal="center" vertical="center" wrapText="1"/>
    </xf>
    <xf numFmtId="0" fontId="0" fillId="14" borderId="0" xfId="0" applyFill="1"/>
    <xf numFmtId="0" fontId="0" fillId="13" borderId="0" xfId="0" applyFill="1"/>
    <xf numFmtId="0" fontId="3" fillId="3" borderId="8" xfId="0" applyFont="1" applyFill="1" applyBorder="1" applyAlignment="1">
      <alignment horizontal="center" vertical="center"/>
    </xf>
    <xf numFmtId="0" fontId="3" fillId="3" borderId="9" xfId="0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 vertical="center"/>
    </xf>
    <xf numFmtId="0" fontId="3" fillId="3" borderId="14" xfId="0" applyFont="1" applyFill="1" applyBorder="1" applyAlignment="1">
      <alignment horizontal="center" vertical="center"/>
    </xf>
    <xf numFmtId="0" fontId="3" fillId="3" borderId="0" xfId="0" applyFont="1" applyFill="1" applyBorder="1" applyAlignment="1">
      <alignment horizontal="center" vertical="center"/>
    </xf>
    <xf numFmtId="0" fontId="3" fillId="3" borderId="15" xfId="0" applyFont="1" applyFill="1" applyBorder="1" applyAlignment="1">
      <alignment horizontal="center" vertical="center"/>
    </xf>
    <xf numFmtId="0" fontId="3" fillId="3" borderId="11" xfId="0" applyFont="1" applyFill="1" applyBorder="1" applyAlignment="1">
      <alignment horizontal="center" vertical="center"/>
    </xf>
    <xf numFmtId="0" fontId="3" fillId="3" borderId="12" xfId="0" applyFont="1" applyFill="1" applyBorder="1" applyAlignment="1">
      <alignment horizontal="center" vertical="center"/>
    </xf>
    <xf numFmtId="0" fontId="3" fillId="3" borderId="13" xfId="0" applyFont="1" applyFill="1" applyBorder="1" applyAlignment="1">
      <alignment horizontal="center" vertical="center"/>
    </xf>
    <xf numFmtId="0" fontId="3" fillId="3" borderId="4" xfId="0" applyFont="1" applyFill="1" applyBorder="1" applyAlignment="1">
      <alignment horizontal="center" vertical="center"/>
    </xf>
    <xf numFmtId="0" fontId="3" fillId="3" borderId="5" xfId="0" applyFont="1" applyFill="1" applyBorder="1" applyAlignment="1">
      <alignment horizontal="center" vertical="center"/>
    </xf>
    <xf numFmtId="0" fontId="3" fillId="3" borderId="6" xfId="0" applyFont="1" applyFill="1" applyBorder="1" applyAlignment="1">
      <alignment horizontal="center" vertical="center"/>
    </xf>
    <xf numFmtId="0" fontId="3" fillId="3" borderId="4" xfId="0" applyFont="1" applyFill="1" applyBorder="1" applyAlignment="1">
      <alignment horizontal="center" vertical="center" wrapText="1"/>
    </xf>
    <xf numFmtId="0" fontId="3" fillId="3" borderId="5" xfId="0" applyFont="1" applyFill="1" applyBorder="1" applyAlignment="1">
      <alignment horizontal="center" vertical="center" wrapText="1"/>
    </xf>
    <xf numFmtId="0" fontId="3" fillId="3" borderId="6" xfId="0" applyFont="1" applyFill="1" applyBorder="1" applyAlignment="1">
      <alignment horizontal="center" vertical="center" wrapText="1"/>
    </xf>
    <xf numFmtId="0" fontId="3" fillId="0" borderId="7" xfId="0" applyFont="1" applyFill="1" applyBorder="1" applyAlignment="1">
      <alignment vertical="center"/>
    </xf>
    <xf numFmtId="0" fontId="3" fillId="0" borderId="3" xfId="0" applyFont="1" applyFill="1" applyBorder="1" applyAlignment="1">
      <alignment vertical="center"/>
    </xf>
    <xf numFmtId="0" fontId="2" fillId="2" borderId="1" xfId="0" applyFont="1" applyFill="1" applyBorder="1" applyAlignment="1">
      <alignment horizontal="center" vertical="center"/>
    </xf>
    <xf numFmtId="0" fontId="3" fillId="3" borderId="8" xfId="0" applyFont="1" applyFill="1" applyBorder="1" applyAlignment="1">
      <alignment horizontal="center" vertical="center" wrapText="1"/>
    </xf>
    <xf numFmtId="0" fontId="3" fillId="3" borderId="11" xfId="0" applyFont="1" applyFill="1" applyBorder="1" applyAlignment="1">
      <alignment horizontal="center" vertical="center" wrapText="1"/>
    </xf>
    <xf numFmtId="0" fontId="10" fillId="3" borderId="4" xfId="0" applyFont="1" applyFill="1" applyBorder="1" applyAlignment="1">
      <alignment horizontal="center" vertical="center"/>
    </xf>
    <xf numFmtId="0" fontId="10" fillId="3" borderId="5" xfId="0" applyFont="1" applyFill="1" applyBorder="1" applyAlignment="1">
      <alignment horizontal="center" vertical="center"/>
    </xf>
    <xf numFmtId="0" fontId="10" fillId="3" borderId="6" xfId="0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" vertical="center"/>
    </xf>
    <xf numFmtId="0" fontId="10" fillId="0" borderId="7" xfId="0" applyFont="1" applyFill="1" applyBorder="1" applyAlignment="1">
      <alignment vertical="center"/>
    </xf>
    <xf numFmtId="0" fontId="10" fillId="0" borderId="3" xfId="0" applyFont="1" applyFill="1" applyBorder="1" applyAlignment="1">
      <alignment vertical="center"/>
    </xf>
    <xf numFmtId="0" fontId="10" fillId="3" borderId="8" xfId="0" applyFont="1" applyFill="1" applyBorder="1" applyAlignment="1">
      <alignment horizontal="center" vertical="center"/>
    </xf>
    <xf numFmtId="0" fontId="10" fillId="3" borderId="11" xfId="0" applyFont="1" applyFill="1" applyBorder="1" applyAlignment="1">
      <alignment horizontal="center" vertical="center"/>
    </xf>
    <xf numFmtId="0" fontId="10" fillId="3" borderId="2" xfId="0" applyFont="1" applyFill="1" applyBorder="1" applyAlignment="1">
      <alignment horizontal="center" vertical="center"/>
    </xf>
    <xf numFmtId="0" fontId="10" fillId="3" borderId="7" xfId="0" applyFont="1" applyFill="1" applyBorder="1" applyAlignment="1">
      <alignment horizontal="center" vertical="center"/>
    </xf>
    <xf numFmtId="0" fontId="10" fillId="3" borderId="3" xfId="0" applyFont="1" applyFill="1" applyBorder="1" applyAlignment="1">
      <alignment horizontal="center" vertical="center"/>
    </xf>
    <xf numFmtId="0" fontId="10" fillId="3" borderId="9" xfId="0" applyFont="1" applyFill="1" applyBorder="1" applyAlignment="1">
      <alignment horizontal="center" vertical="center"/>
    </xf>
    <xf numFmtId="0" fontId="10" fillId="3" borderId="10" xfId="0" applyFont="1" applyFill="1" applyBorder="1" applyAlignment="1">
      <alignment horizontal="center" vertical="center"/>
    </xf>
    <xf numFmtId="0" fontId="10" fillId="3" borderId="14" xfId="0" applyFont="1" applyFill="1" applyBorder="1" applyAlignment="1">
      <alignment horizontal="center" vertical="center"/>
    </xf>
    <xf numFmtId="0" fontId="10" fillId="3" borderId="0" xfId="0" applyFont="1" applyFill="1" applyBorder="1" applyAlignment="1">
      <alignment horizontal="center" vertical="center"/>
    </xf>
    <xf numFmtId="0" fontId="10" fillId="3" borderId="15" xfId="0" applyFont="1" applyFill="1" applyBorder="1" applyAlignment="1">
      <alignment horizontal="center" vertical="center"/>
    </xf>
    <xf numFmtId="0" fontId="10" fillId="3" borderId="12" xfId="0" applyFont="1" applyFill="1" applyBorder="1" applyAlignment="1">
      <alignment horizontal="center" vertical="center"/>
    </xf>
    <xf numFmtId="0" fontId="10" fillId="3" borderId="13" xfId="0" applyFont="1" applyFill="1" applyBorder="1" applyAlignment="1">
      <alignment horizontal="center" vertical="center"/>
    </xf>
    <xf numFmtId="0" fontId="10" fillId="3" borderId="4" xfId="0" applyFont="1" applyFill="1" applyBorder="1" applyAlignment="1">
      <alignment horizontal="center" vertical="center" wrapText="1"/>
    </xf>
    <xf numFmtId="0" fontId="10" fillId="3" borderId="5" xfId="0" applyFont="1" applyFill="1" applyBorder="1" applyAlignment="1">
      <alignment horizontal="center" vertical="center" wrapText="1"/>
    </xf>
    <xf numFmtId="0" fontId="10" fillId="3" borderId="6" xfId="0" applyFont="1" applyFill="1" applyBorder="1" applyAlignment="1">
      <alignment horizontal="center" vertical="center" wrapText="1"/>
    </xf>
    <xf numFmtId="0" fontId="11" fillId="0" borderId="2" xfId="0" applyFont="1" applyBorder="1" applyAlignment="1">
      <alignment horizontal="left" vertical="center"/>
    </xf>
    <xf numFmtId="0" fontId="11" fillId="0" borderId="7" xfId="0" applyFont="1" applyBorder="1" applyAlignment="1">
      <alignment horizontal="left" vertical="center"/>
    </xf>
    <xf numFmtId="0" fontId="11" fillId="0" borderId="3" xfId="0" applyFont="1" applyBorder="1" applyAlignment="1">
      <alignment horizontal="left" vertical="center"/>
    </xf>
    <xf numFmtId="0" fontId="11" fillId="0" borderId="2" xfId="0" applyFont="1" applyBorder="1" applyAlignment="1">
      <alignment horizontal="left" vertical="center" wrapText="1"/>
    </xf>
    <xf numFmtId="0" fontId="11" fillId="0" borderId="7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left" vertical="center" wrapText="1"/>
    </xf>
    <xf numFmtId="0" fontId="15" fillId="0" borderId="2" xfId="0" applyFont="1" applyBorder="1" applyAlignment="1">
      <alignment horizontal="center" vertical="center"/>
    </xf>
    <xf numFmtId="0" fontId="15" fillId="0" borderId="7" xfId="0" applyFont="1" applyBorder="1" applyAlignment="1">
      <alignment horizontal="center" vertical="center"/>
    </xf>
    <xf numFmtId="0" fontId="15" fillId="0" borderId="3" xfId="0" applyFont="1" applyBorder="1" applyAlignment="1">
      <alignment horizontal="center" vertical="center"/>
    </xf>
    <xf numFmtId="0" fontId="0" fillId="5" borderId="4" xfId="0" applyFill="1" applyBorder="1" applyAlignment="1">
      <alignment horizontal="center" vertical="center"/>
    </xf>
    <xf numFmtId="0" fontId="0" fillId="5" borderId="6" xfId="0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4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15" fillId="8" borderId="8" xfId="0" applyFont="1" applyFill="1" applyBorder="1" applyAlignment="1">
      <alignment horizontal="center" vertical="center" wrapText="1"/>
    </xf>
    <xf numFmtId="0" fontId="15" fillId="8" borderId="11" xfId="0" applyFont="1" applyFill="1" applyBorder="1" applyAlignment="1">
      <alignment horizontal="center" vertical="center" wrapText="1"/>
    </xf>
    <xf numFmtId="0" fontId="15" fillId="8" borderId="2" xfId="0" applyFont="1" applyFill="1" applyBorder="1" applyAlignment="1">
      <alignment horizontal="center" vertical="center"/>
    </xf>
    <xf numFmtId="0" fontId="15" fillId="8" borderId="3" xfId="0" applyFont="1" applyFill="1" applyBorder="1" applyAlignment="1">
      <alignment horizontal="center" vertical="center"/>
    </xf>
    <xf numFmtId="0" fontId="15" fillId="8" borderId="4" xfId="0" applyFont="1" applyFill="1" applyBorder="1" applyAlignment="1">
      <alignment horizontal="center" vertical="center"/>
    </xf>
    <xf numFmtId="0" fontId="15" fillId="8" borderId="6" xfId="0" applyFont="1" applyFill="1" applyBorder="1" applyAlignment="1">
      <alignment horizontal="center" vertical="center"/>
    </xf>
    <xf numFmtId="0" fontId="0" fillId="7" borderId="2" xfId="0" applyFill="1" applyBorder="1" applyAlignment="1">
      <alignment horizontal="center" vertical="center"/>
    </xf>
    <xf numFmtId="0" fontId="0" fillId="7" borderId="3" xfId="0" applyFill="1" applyBorder="1" applyAlignment="1">
      <alignment horizontal="center" vertical="center"/>
    </xf>
    <xf numFmtId="0" fontId="15" fillId="8" borderId="4" xfId="0" applyFont="1" applyFill="1" applyBorder="1" applyAlignment="1">
      <alignment horizontal="center" vertical="center" wrapText="1"/>
    </xf>
    <xf numFmtId="0" fontId="15" fillId="8" borderId="6" xfId="0" applyFont="1" applyFill="1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5" borderId="2" xfId="0" applyFill="1" applyBorder="1" applyAlignment="1">
      <alignment horizontal="center" vertical="center"/>
    </xf>
    <xf numFmtId="0" fontId="0" fillId="5" borderId="3" xfId="0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5" fillId="0" borderId="8" xfId="0" applyFont="1" applyBorder="1" applyAlignment="1">
      <alignment horizontal="center" vertical="center"/>
    </xf>
    <xf numFmtId="0" fontId="15" fillId="0" borderId="9" xfId="0" applyFont="1" applyBorder="1" applyAlignment="1">
      <alignment horizontal="center" vertical="center"/>
    </xf>
    <xf numFmtId="0" fontId="15" fillId="0" borderId="10" xfId="0" applyFont="1" applyBorder="1" applyAlignment="1">
      <alignment horizontal="center" vertical="center"/>
    </xf>
    <xf numFmtId="0" fontId="15" fillId="0" borderId="11" xfId="0" applyFont="1" applyBorder="1" applyAlignment="1">
      <alignment horizontal="center" vertical="center"/>
    </xf>
    <xf numFmtId="0" fontId="15" fillId="0" borderId="12" xfId="0" applyFont="1" applyBorder="1" applyAlignment="1">
      <alignment horizontal="center" vertical="center"/>
    </xf>
    <xf numFmtId="0" fontId="15" fillId="0" borderId="13" xfId="0" applyFont="1" applyBorder="1" applyAlignment="1">
      <alignment horizontal="center" vertical="center"/>
    </xf>
    <xf numFmtId="0" fontId="15" fillId="0" borderId="4" xfId="0" applyFont="1" applyBorder="1" applyAlignment="1">
      <alignment horizontal="center" vertical="center"/>
    </xf>
    <xf numFmtId="0" fontId="15" fillId="0" borderId="6" xfId="0" applyFont="1" applyBorder="1" applyAlignment="1">
      <alignment horizontal="center" vertical="center"/>
    </xf>
    <xf numFmtId="0" fontId="15" fillId="0" borderId="8" xfId="0" applyFont="1" applyBorder="1" applyAlignment="1">
      <alignment horizontal="center" vertical="center" wrapText="1"/>
    </xf>
    <xf numFmtId="0" fontId="15" fillId="0" borderId="10" xfId="0" applyFont="1" applyBorder="1" applyAlignment="1">
      <alignment horizontal="center" vertical="center" wrapText="1"/>
    </xf>
    <xf numFmtId="0" fontId="15" fillId="0" borderId="11" xfId="0" applyFont="1" applyBorder="1" applyAlignment="1">
      <alignment horizontal="center" vertical="center" wrapText="1"/>
    </xf>
    <xf numFmtId="0" fontId="15" fillId="0" borderId="13" xfId="0" applyFont="1" applyBorder="1" applyAlignment="1">
      <alignment horizontal="center" vertical="center" wrapText="1"/>
    </xf>
    <xf numFmtId="0" fontId="0" fillId="0" borderId="2" xfId="0" applyBorder="1" applyAlignment="1">
      <alignment horizontal="left" vertical="center"/>
    </xf>
    <xf numFmtId="0" fontId="0" fillId="0" borderId="3" xfId="0" applyBorder="1" applyAlignment="1">
      <alignment horizontal="left" vertical="center"/>
    </xf>
    <xf numFmtId="0" fontId="0" fillId="0" borderId="2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5" borderId="2" xfId="0" applyFill="1" applyBorder="1" applyAlignment="1">
      <alignment horizontal="center"/>
    </xf>
    <xf numFmtId="0" fontId="0" fillId="5" borderId="7" xfId="0" applyFill="1" applyBorder="1" applyAlignment="1">
      <alignment horizontal="center"/>
    </xf>
    <xf numFmtId="0" fontId="0" fillId="5" borderId="3" xfId="0" applyFill="1" applyBorder="1" applyAlignment="1">
      <alignment horizontal="center"/>
    </xf>
    <xf numFmtId="0" fontId="0" fillId="5" borderId="4" xfId="0" applyFill="1" applyBorder="1" applyAlignment="1">
      <alignment horizontal="right" vertical="center"/>
    </xf>
    <xf numFmtId="0" fontId="0" fillId="5" borderId="6" xfId="0" applyFill="1" applyBorder="1" applyAlignment="1">
      <alignment horizontal="right" vertical="center"/>
    </xf>
    <xf numFmtId="0" fontId="0" fillId="5" borderId="4" xfId="0" applyFill="1" applyBorder="1" applyAlignment="1">
      <alignment horizontal="center" vertical="center" wrapText="1"/>
    </xf>
    <xf numFmtId="0" fontId="0" fillId="5" borderId="6" xfId="0" applyFill="1" applyBorder="1" applyAlignment="1">
      <alignment horizontal="center" vertical="center" wrapText="1"/>
    </xf>
    <xf numFmtId="0" fontId="0" fillId="5" borderId="14" xfId="0" applyFill="1" applyBorder="1" applyAlignment="1">
      <alignment horizontal="center" vertical="center"/>
    </xf>
    <xf numFmtId="0" fontId="0" fillId="5" borderId="0" xfId="0" applyFill="1" applyBorder="1" applyAlignment="1">
      <alignment horizontal="center" vertical="center"/>
    </xf>
    <xf numFmtId="0" fontId="0" fillId="5" borderId="2" xfId="0" applyFill="1" applyBorder="1" applyAlignment="1">
      <alignment horizontal="center" vertical="center" wrapText="1"/>
    </xf>
    <xf numFmtId="0" fontId="0" fillId="5" borderId="3" xfId="0" applyFill="1" applyBorder="1" applyAlignment="1">
      <alignment horizontal="center" vertical="center" wrapText="1"/>
    </xf>
    <xf numFmtId="0" fontId="19" fillId="10" borderId="0" xfId="0" applyFont="1" applyFill="1" applyAlignment="1">
      <alignment horizontal="center" vertical="center"/>
    </xf>
    <xf numFmtId="0" fontId="0" fillId="12" borderId="1" xfId="0" applyFill="1" applyBorder="1" applyAlignment="1">
      <alignment horizontal="center" vertical="center"/>
    </xf>
    <xf numFmtId="0" fontId="15" fillId="12" borderId="2" xfId="0" applyFont="1" applyFill="1" applyBorder="1" applyAlignment="1">
      <alignment horizontal="center" vertical="center"/>
    </xf>
    <xf numFmtId="0" fontId="15" fillId="12" borderId="3" xfId="0" applyFont="1" applyFill="1" applyBorder="1" applyAlignment="1">
      <alignment horizontal="center" vertical="center"/>
    </xf>
    <xf numFmtId="0" fontId="15" fillId="0" borderId="18" xfId="0" applyFont="1" applyBorder="1" applyAlignment="1">
      <alignment horizontal="center" vertical="center"/>
    </xf>
    <xf numFmtId="0" fontId="15" fillId="0" borderId="19" xfId="0" applyFont="1" applyBorder="1" applyAlignment="1">
      <alignment horizontal="center" vertical="center"/>
    </xf>
  </cellXfs>
  <cellStyles count="7">
    <cellStyle name="Comma" xfId="1" builtinId="3"/>
    <cellStyle name="Hyperlink" xfId="6" builtinId="8"/>
    <cellStyle name="Normal" xfId="0" builtinId="0"/>
    <cellStyle name="Normal 2" xfId="3" xr:uid="{BDBB475C-310D-4FBA-A964-24005CA6D343}"/>
    <cellStyle name="Normal 3" xfId="2" xr:uid="{0BA87F6E-42B1-4089-BB9F-5E54530A4116}"/>
    <cellStyle name="Percent" xfId="5" builtinId="5"/>
    <cellStyle name="Percent 2" xfId="4" xr:uid="{87B292C9-4D23-4AFB-BE34-26C82B6DB1A7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24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25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26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27.xml.rels><?xml version="1.0" encoding="UTF-8" standalone="yes"?>
<Relationships xmlns="http://schemas.openxmlformats.org/package/2006/relationships"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_rels/chart28.xml.rels><?xml version="1.0" encoding="UTF-8" standalone="yes"?>
<Relationships xmlns="http://schemas.openxmlformats.org/package/2006/relationships"><Relationship Id="rId2" Type="http://schemas.microsoft.com/office/2011/relationships/chartColorStyle" Target="colors28.xml"/><Relationship Id="rId1" Type="http://schemas.microsoft.com/office/2011/relationships/chartStyle" Target="style28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spc="100" baseline="0">
              <a:solidFill>
                <a:schemeClr val="lt1">
                  <a:lumMod val="95000"/>
                </a:schemeClr>
              </a:solidFill>
              <a:effectLst>
                <a:outerShdw blurRad="50800" dist="38100" dir="5400000" algn="t" rotWithShape="0">
                  <a:prstClr val="black">
                    <a:alpha val="40000"/>
                  </a:prstClr>
                </a:outerShdw>
              </a:effectLst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'Data Hotel'!$G$31</c:f>
              <c:strCache>
                <c:ptCount val="1"/>
                <c:pt idx="0">
                  <c:v>Jumlah Hotel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'Data Hotel'!$F$32:$F$36</c:f>
              <c:strCache>
                <c:ptCount val="5"/>
                <c:pt idx="0">
                  <c:v>Samarinda Kota</c:v>
                </c:pt>
                <c:pt idx="1">
                  <c:v>Samarinda Ulu</c:v>
                </c:pt>
                <c:pt idx="2">
                  <c:v>Samarinda Ilir</c:v>
                </c:pt>
                <c:pt idx="3">
                  <c:v>Sungai Pinang</c:v>
                </c:pt>
                <c:pt idx="4">
                  <c:v>Samarinda Utara</c:v>
                </c:pt>
              </c:strCache>
            </c:strRef>
          </c:cat>
          <c:val>
            <c:numRef>
              <c:f>'Data Hotel'!$G$32:$G$36</c:f>
              <c:numCache>
                <c:formatCode>General</c:formatCode>
                <c:ptCount val="5"/>
                <c:pt idx="0">
                  <c:v>10</c:v>
                </c:pt>
                <c:pt idx="1">
                  <c:v>4</c:v>
                </c:pt>
                <c:pt idx="2">
                  <c:v>1</c:v>
                </c:pt>
                <c:pt idx="3">
                  <c:v>5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2E8-4038-A2FF-DCBABE7A02D8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338541616"/>
        <c:axId val="374560872"/>
        <c:axId val="0"/>
      </c:bar3DChart>
      <c:catAx>
        <c:axId val="3385416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74560872"/>
        <c:crosses val="autoZero"/>
        <c:auto val="1"/>
        <c:lblAlgn val="ctr"/>
        <c:lblOffset val="100"/>
        <c:noMultiLvlLbl val="0"/>
      </c:catAx>
      <c:valAx>
        <c:axId val="3745608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dk1">
                  <a:lumMod val="50000"/>
                  <a:lumOff val="50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3854161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spc="100" baseline="0">
              <a:solidFill>
                <a:schemeClr val="lt1">
                  <a:lumMod val="95000"/>
                </a:schemeClr>
              </a:solidFill>
              <a:effectLst>
                <a:outerShdw blurRad="50800" dist="38100" dir="5400000" algn="t" rotWithShape="0">
                  <a:prstClr val="black">
                    <a:alpha val="40000"/>
                  </a:prstClr>
                </a:outerShdw>
              </a:effectLst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'Data Rumah Sakit'!$G$17</c:f>
              <c:strCache>
                <c:ptCount val="1"/>
                <c:pt idx="0">
                  <c:v>Jumlah Rumah Sakit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'Data Rumah Sakit'!$F$18:$F$22</c:f>
              <c:strCache>
                <c:ptCount val="5"/>
                <c:pt idx="0">
                  <c:v>Samarinda Kota</c:v>
                </c:pt>
                <c:pt idx="1">
                  <c:v>Samarinda Ulu</c:v>
                </c:pt>
                <c:pt idx="2">
                  <c:v>Samarinda Ilir</c:v>
                </c:pt>
                <c:pt idx="3">
                  <c:v>Sungai Pinang</c:v>
                </c:pt>
                <c:pt idx="4">
                  <c:v>Samarinda Utara</c:v>
                </c:pt>
              </c:strCache>
            </c:strRef>
          </c:cat>
          <c:val>
            <c:numRef>
              <c:f>'Data Rumah Sakit'!$G$18:$G$22</c:f>
              <c:numCache>
                <c:formatCode>General</c:formatCode>
                <c:ptCount val="5"/>
                <c:pt idx="0">
                  <c:v>2</c:v>
                </c:pt>
                <c:pt idx="1">
                  <c:v>2</c:v>
                </c:pt>
                <c:pt idx="2">
                  <c:v>2</c:v>
                </c:pt>
                <c:pt idx="3">
                  <c:v>1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D0E-4A22-A9EF-C8B971378050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879891864"/>
        <c:axId val="879889896"/>
        <c:axId val="0"/>
      </c:bar3DChart>
      <c:catAx>
        <c:axId val="8798918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79889896"/>
        <c:crosses val="autoZero"/>
        <c:auto val="1"/>
        <c:lblAlgn val="ctr"/>
        <c:lblOffset val="100"/>
        <c:noMultiLvlLbl val="0"/>
      </c:catAx>
      <c:valAx>
        <c:axId val="879889896"/>
        <c:scaling>
          <c:orientation val="minMax"/>
          <c:max val="5"/>
        </c:scaling>
        <c:delete val="0"/>
        <c:axPos val="l"/>
        <c:majorGridlines>
          <c:spPr>
            <a:ln w="9525" cap="flat" cmpd="sng" algn="ctr">
              <a:solidFill>
                <a:schemeClr val="dk1">
                  <a:lumMod val="50000"/>
                  <a:lumOff val="50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79891864"/>
        <c:crosses val="autoZero"/>
        <c:crossBetween val="between"/>
        <c:majorUnit val="1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spc="100" baseline="0">
              <a:solidFill>
                <a:schemeClr val="lt1">
                  <a:lumMod val="95000"/>
                </a:schemeClr>
              </a:solidFill>
              <a:effectLst>
                <a:outerShdw blurRad="50800" dist="38100" dir="5400000" algn="t" rotWithShape="0">
                  <a:prstClr val="black">
                    <a:alpha val="40000"/>
                  </a:prstClr>
                </a:outerShdw>
              </a:effectLst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Loundry!$I$32</c:f>
              <c:strCache>
                <c:ptCount val="1"/>
                <c:pt idx="0">
                  <c:v>Jumlah Laundry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Loundry!$H$33:$H$37</c:f>
              <c:strCache>
                <c:ptCount val="5"/>
                <c:pt idx="0">
                  <c:v>Samarinda Kota</c:v>
                </c:pt>
                <c:pt idx="1">
                  <c:v>Samarinda Ulu</c:v>
                </c:pt>
                <c:pt idx="2">
                  <c:v>Samarinda Ilir</c:v>
                </c:pt>
                <c:pt idx="3">
                  <c:v>Sungai Pinang</c:v>
                </c:pt>
                <c:pt idx="4">
                  <c:v>Samarinda Utara</c:v>
                </c:pt>
              </c:strCache>
            </c:strRef>
          </c:cat>
          <c:val>
            <c:numRef>
              <c:f>Loundry!$I$33:$I$37</c:f>
              <c:numCache>
                <c:formatCode>General</c:formatCode>
                <c:ptCount val="5"/>
                <c:pt idx="0">
                  <c:v>2</c:v>
                </c:pt>
                <c:pt idx="1">
                  <c:v>6</c:v>
                </c:pt>
                <c:pt idx="2">
                  <c:v>3</c:v>
                </c:pt>
                <c:pt idx="3">
                  <c:v>8</c:v>
                </c:pt>
                <c:pt idx="4">
                  <c:v>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00-41E3-B5E1-7F044551427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868323272"/>
        <c:axId val="868323928"/>
        <c:axId val="0"/>
      </c:bar3DChart>
      <c:catAx>
        <c:axId val="8683232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68323928"/>
        <c:crosses val="autoZero"/>
        <c:auto val="1"/>
        <c:lblAlgn val="ctr"/>
        <c:lblOffset val="100"/>
        <c:noMultiLvlLbl val="0"/>
      </c:catAx>
      <c:valAx>
        <c:axId val="8683239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dk1">
                  <a:lumMod val="50000"/>
                  <a:lumOff val="50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6832327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spc="100" baseline="0">
                <a:solidFill>
                  <a:schemeClr val="lt1">
                    <a:lumMod val="95000"/>
                  </a:schemeClr>
                </a:solidFill>
                <a:effectLst>
                  <a:outerShdw blurRad="50800" dist="38100" dir="5400000" algn="t" rotWithShape="0">
                    <a:prstClr val="black">
                      <a:alpha val="40000"/>
                    </a:prstClr>
                  </a:outerShdw>
                </a:effectLst>
                <a:latin typeface="+mn-lt"/>
                <a:ea typeface="+mn-ea"/>
                <a:cs typeface="+mn-cs"/>
              </a:defRPr>
            </a:pPr>
            <a:r>
              <a:rPr lang="en-US"/>
              <a:t>Persentase</a:t>
            </a:r>
            <a:r>
              <a:rPr lang="en-US" baseline="0"/>
              <a:t> Jumlah Ternak</a:t>
            </a:r>
            <a:endParaRPr lang="en-US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spc="100" baseline="0">
              <a:solidFill>
                <a:schemeClr val="lt1">
                  <a:lumMod val="95000"/>
                </a:schemeClr>
              </a:solidFill>
              <a:effectLst>
                <a:outerShdw blurRad="50800" dist="38100" dir="5400000" algn="t" rotWithShape="0">
                  <a:prstClr val="black">
                    <a:alpha val="40000"/>
                  </a:prstClr>
                </a:outerShdw>
              </a:effectLst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percentStacked"/>
        <c:varyColors val="0"/>
        <c:ser>
          <c:idx val="0"/>
          <c:order val="0"/>
          <c:tx>
            <c:strRef>
              <c:f>'Peternakan (BPS)'!$H$28</c:f>
              <c:strCache>
                <c:ptCount val="1"/>
                <c:pt idx="0">
                  <c:v>Sapi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cat>
            <c:strRef>
              <c:f>'Peternakan (BPS)'!$G$29:$G$33</c:f>
              <c:strCache>
                <c:ptCount val="5"/>
                <c:pt idx="0">
                  <c:v>Samarinda Kota</c:v>
                </c:pt>
                <c:pt idx="1">
                  <c:v>Samarinda Ulu</c:v>
                </c:pt>
                <c:pt idx="2">
                  <c:v>Samarinda Ilir</c:v>
                </c:pt>
                <c:pt idx="3">
                  <c:v>Sungai Pinang</c:v>
                </c:pt>
                <c:pt idx="4">
                  <c:v>Samarinda Utara</c:v>
                </c:pt>
              </c:strCache>
            </c:strRef>
          </c:cat>
          <c:val>
            <c:numRef>
              <c:f>'Peternakan (BPS)'!$H$29:$H$33</c:f>
              <c:numCache>
                <c:formatCode>General</c:formatCode>
                <c:ptCount val="5"/>
                <c:pt idx="0">
                  <c:v>0</c:v>
                </c:pt>
                <c:pt idx="1">
                  <c:v>265</c:v>
                </c:pt>
                <c:pt idx="2">
                  <c:v>0</c:v>
                </c:pt>
                <c:pt idx="3">
                  <c:v>193</c:v>
                </c:pt>
                <c:pt idx="4">
                  <c:v>2867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4FA-47A9-891B-1A06712581B0}"/>
            </c:ext>
          </c:extLst>
        </c:ser>
        <c:ser>
          <c:idx val="1"/>
          <c:order val="1"/>
          <c:tx>
            <c:strRef>
              <c:f>'Peternakan (BPS)'!$I$28</c:f>
              <c:strCache>
                <c:ptCount val="1"/>
                <c:pt idx="0">
                  <c:v>Kerbau</c:v>
                </c:pt>
              </c:strCache>
            </c:strRef>
          </c:tx>
          <c:spPr>
            <a:gradFill rotWithShape="1">
              <a:gsLst>
                <a:gs pos="0">
                  <a:schemeClr val="accent2">
                    <a:satMod val="103000"/>
                    <a:lumMod val="102000"/>
                    <a:tint val="94000"/>
                  </a:schemeClr>
                </a:gs>
                <a:gs pos="50000">
                  <a:schemeClr val="accent2">
                    <a:satMod val="110000"/>
                    <a:lumMod val="100000"/>
                    <a:shade val="100000"/>
                  </a:schemeClr>
                </a:gs>
                <a:gs pos="100000">
                  <a:schemeClr val="accent2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cat>
            <c:strRef>
              <c:f>'Peternakan (BPS)'!$G$29:$G$33</c:f>
              <c:strCache>
                <c:ptCount val="5"/>
                <c:pt idx="0">
                  <c:v>Samarinda Kota</c:v>
                </c:pt>
                <c:pt idx="1">
                  <c:v>Samarinda Ulu</c:v>
                </c:pt>
                <c:pt idx="2">
                  <c:v>Samarinda Ilir</c:v>
                </c:pt>
                <c:pt idx="3">
                  <c:v>Sungai Pinang</c:v>
                </c:pt>
                <c:pt idx="4">
                  <c:v>Samarinda Utara</c:v>
                </c:pt>
              </c:strCache>
            </c:strRef>
          </c:cat>
          <c:val>
            <c:numRef>
              <c:f>'Peternakan (BPS)'!$I$29:$I$33</c:f>
              <c:numCache>
                <c:formatCode>General</c:formatCode>
                <c:ptCount val="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4FA-47A9-891B-1A06712581B0}"/>
            </c:ext>
          </c:extLst>
        </c:ser>
        <c:ser>
          <c:idx val="2"/>
          <c:order val="2"/>
          <c:tx>
            <c:strRef>
              <c:f>'Peternakan (BPS)'!$J$28</c:f>
              <c:strCache>
                <c:ptCount val="1"/>
                <c:pt idx="0">
                  <c:v>Kambing</c:v>
                </c:pt>
              </c:strCache>
            </c:strRef>
          </c:tx>
          <c:spPr>
            <a:gradFill rotWithShape="1">
              <a:gsLst>
                <a:gs pos="0">
                  <a:schemeClr val="accent3">
                    <a:satMod val="103000"/>
                    <a:lumMod val="102000"/>
                    <a:tint val="94000"/>
                  </a:schemeClr>
                </a:gs>
                <a:gs pos="50000">
                  <a:schemeClr val="accent3">
                    <a:satMod val="110000"/>
                    <a:lumMod val="100000"/>
                    <a:shade val="100000"/>
                  </a:schemeClr>
                </a:gs>
                <a:gs pos="100000">
                  <a:schemeClr val="accent3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cat>
            <c:strRef>
              <c:f>'Peternakan (BPS)'!$G$29:$G$33</c:f>
              <c:strCache>
                <c:ptCount val="5"/>
                <c:pt idx="0">
                  <c:v>Samarinda Kota</c:v>
                </c:pt>
                <c:pt idx="1">
                  <c:v>Samarinda Ulu</c:v>
                </c:pt>
                <c:pt idx="2">
                  <c:v>Samarinda Ilir</c:v>
                </c:pt>
                <c:pt idx="3">
                  <c:v>Sungai Pinang</c:v>
                </c:pt>
                <c:pt idx="4">
                  <c:v>Samarinda Utara</c:v>
                </c:pt>
              </c:strCache>
            </c:strRef>
          </c:cat>
          <c:val>
            <c:numRef>
              <c:f>'Peternakan (BPS)'!$J$29:$J$33</c:f>
              <c:numCache>
                <c:formatCode>General</c:formatCode>
                <c:ptCount val="5"/>
                <c:pt idx="0">
                  <c:v>0</c:v>
                </c:pt>
                <c:pt idx="1">
                  <c:v>109</c:v>
                </c:pt>
                <c:pt idx="2">
                  <c:v>0</c:v>
                </c:pt>
                <c:pt idx="3">
                  <c:v>211</c:v>
                </c:pt>
                <c:pt idx="4">
                  <c:v>2326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4FA-47A9-891B-1A06712581B0}"/>
            </c:ext>
          </c:extLst>
        </c:ser>
        <c:ser>
          <c:idx val="3"/>
          <c:order val="3"/>
          <c:tx>
            <c:strRef>
              <c:f>'Peternakan (BPS)'!$K$28</c:f>
              <c:strCache>
                <c:ptCount val="1"/>
                <c:pt idx="0">
                  <c:v>Ayam</c:v>
                </c:pt>
              </c:strCache>
            </c:strRef>
          </c:tx>
          <c:spPr>
            <a:gradFill rotWithShape="1">
              <a:gsLst>
                <a:gs pos="0">
                  <a:schemeClr val="accent4">
                    <a:satMod val="103000"/>
                    <a:lumMod val="102000"/>
                    <a:tint val="94000"/>
                  </a:schemeClr>
                </a:gs>
                <a:gs pos="50000">
                  <a:schemeClr val="accent4">
                    <a:satMod val="110000"/>
                    <a:lumMod val="100000"/>
                    <a:shade val="100000"/>
                  </a:schemeClr>
                </a:gs>
                <a:gs pos="100000">
                  <a:schemeClr val="accent4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cat>
            <c:strRef>
              <c:f>'Peternakan (BPS)'!$G$29:$G$33</c:f>
              <c:strCache>
                <c:ptCount val="5"/>
                <c:pt idx="0">
                  <c:v>Samarinda Kota</c:v>
                </c:pt>
                <c:pt idx="1">
                  <c:v>Samarinda Ulu</c:v>
                </c:pt>
                <c:pt idx="2">
                  <c:v>Samarinda Ilir</c:v>
                </c:pt>
                <c:pt idx="3">
                  <c:v>Sungai Pinang</c:v>
                </c:pt>
                <c:pt idx="4">
                  <c:v>Samarinda Utara</c:v>
                </c:pt>
              </c:strCache>
            </c:strRef>
          </c:cat>
          <c:val>
            <c:numRef>
              <c:f>'Peternakan (BPS)'!$K$29:$K$33</c:f>
              <c:numCache>
                <c:formatCode>General</c:formatCode>
                <c:ptCount val="5"/>
                <c:pt idx="0">
                  <c:v>41834</c:v>
                </c:pt>
                <c:pt idx="1">
                  <c:v>28093</c:v>
                </c:pt>
                <c:pt idx="2">
                  <c:v>18753</c:v>
                </c:pt>
                <c:pt idx="3">
                  <c:v>0</c:v>
                </c:pt>
                <c:pt idx="4">
                  <c:v>67800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14FA-47A9-891B-1A06712581B0}"/>
            </c:ext>
          </c:extLst>
        </c:ser>
        <c:ser>
          <c:idx val="4"/>
          <c:order val="4"/>
          <c:tx>
            <c:strRef>
              <c:f>'Peternakan (BPS)'!$L$28</c:f>
              <c:strCache>
                <c:ptCount val="1"/>
                <c:pt idx="0">
                  <c:v>Domba</c:v>
                </c:pt>
              </c:strCache>
            </c:strRef>
          </c:tx>
          <c:spPr>
            <a:gradFill rotWithShape="1">
              <a:gsLst>
                <a:gs pos="0">
                  <a:schemeClr val="accent5"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cat>
            <c:strRef>
              <c:f>'Peternakan (BPS)'!$G$29:$G$33</c:f>
              <c:strCache>
                <c:ptCount val="5"/>
                <c:pt idx="0">
                  <c:v>Samarinda Kota</c:v>
                </c:pt>
                <c:pt idx="1">
                  <c:v>Samarinda Ulu</c:v>
                </c:pt>
                <c:pt idx="2">
                  <c:v>Samarinda Ilir</c:v>
                </c:pt>
                <c:pt idx="3">
                  <c:v>Sungai Pinang</c:v>
                </c:pt>
                <c:pt idx="4">
                  <c:v>Samarinda Utara</c:v>
                </c:pt>
              </c:strCache>
            </c:strRef>
          </c:cat>
          <c:val>
            <c:numRef>
              <c:f>'Peternakan (BPS)'!$L$29:$L$33</c:f>
              <c:numCache>
                <c:formatCode>General</c:formatCode>
                <c:ptCount val="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43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14FA-47A9-891B-1A06712581B0}"/>
            </c:ext>
          </c:extLst>
        </c:ser>
        <c:ser>
          <c:idx val="5"/>
          <c:order val="5"/>
          <c:tx>
            <c:strRef>
              <c:f>'Peternakan (BPS)'!$M$28</c:f>
              <c:strCache>
                <c:ptCount val="1"/>
                <c:pt idx="0">
                  <c:v>Babi</c:v>
                </c:pt>
              </c:strCache>
            </c:strRef>
          </c:tx>
          <c:spPr>
            <a:gradFill rotWithShape="1">
              <a:gsLst>
                <a:gs pos="0">
                  <a:schemeClr val="accent6">
                    <a:satMod val="103000"/>
                    <a:lumMod val="102000"/>
                    <a:tint val="94000"/>
                  </a:schemeClr>
                </a:gs>
                <a:gs pos="50000">
                  <a:schemeClr val="accent6">
                    <a:satMod val="110000"/>
                    <a:lumMod val="100000"/>
                    <a:shade val="100000"/>
                  </a:schemeClr>
                </a:gs>
                <a:gs pos="100000">
                  <a:schemeClr val="accent6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cat>
            <c:strRef>
              <c:f>'Peternakan (BPS)'!$G$29:$G$33</c:f>
              <c:strCache>
                <c:ptCount val="5"/>
                <c:pt idx="0">
                  <c:v>Samarinda Kota</c:v>
                </c:pt>
                <c:pt idx="1">
                  <c:v>Samarinda Ulu</c:v>
                </c:pt>
                <c:pt idx="2">
                  <c:v>Samarinda Ilir</c:v>
                </c:pt>
                <c:pt idx="3">
                  <c:v>Sungai Pinang</c:v>
                </c:pt>
                <c:pt idx="4">
                  <c:v>Samarinda Utara</c:v>
                </c:pt>
              </c:strCache>
            </c:strRef>
          </c:cat>
          <c:val>
            <c:numRef>
              <c:f>'Peternakan (BPS)'!$M$29:$M$33</c:f>
              <c:numCache>
                <c:formatCode>General</c:formatCode>
                <c:ptCount val="5"/>
                <c:pt idx="0">
                  <c:v>0</c:v>
                </c:pt>
                <c:pt idx="1">
                  <c:v>291</c:v>
                </c:pt>
                <c:pt idx="2">
                  <c:v>0</c:v>
                </c:pt>
                <c:pt idx="3">
                  <c:v>0</c:v>
                </c:pt>
                <c:pt idx="4">
                  <c:v>9300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14FA-47A9-891B-1A06712581B0}"/>
            </c:ext>
          </c:extLst>
        </c:ser>
        <c:ser>
          <c:idx val="6"/>
          <c:order val="6"/>
          <c:tx>
            <c:strRef>
              <c:f>'Peternakan (BPS)'!$N$28</c:f>
              <c:strCache>
                <c:ptCount val="1"/>
                <c:pt idx="0">
                  <c:v>Itik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lumMod val="60000"/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lumMod val="60000"/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60000"/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cat>
            <c:strRef>
              <c:f>'Peternakan (BPS)'!$G$29:$G$33</c:f>
              <c:strCache>
                <c:ptCount val="5"/>
                <c:pt idx="0">
                  <c:v>Samarinda Kota</c:v>
                </c:pt>
                <c:pt idx="1">
                  <c:v>Samarinda Ulu</c:v>
                </c:pt>
                <c:pt idx="2">
                  <c:v>Samarinda Ilir</c:v>
                </c:pt>
                <c:pt idx="3">
                  <c:v>Sungai Pinang</c:v>
                </c:pt>
                <c:pt idx="4">
                  <c:v>Samarinda Utara</c:v>
                </c:pt>
              </c:strCache>
            </c:strRef>
          </c:cat>
          <c:val>
            <c:numRef>
              <c:f>'Peternakan (BPS)'!$N$29:$N$33</c:f>
              <c:numCache>
                <c:formatCode>General</c:formatCode>
                <c:ptCount val="5"/>
                <c:pt idx="0">
                  <c:v>0</c:v>
                </c:pt>
                <c:pt idx="1">
                  <c:v>1000</c:v>
                </c:pt>
                <c:pt idx="2">
                  <c:v>513</c:v>
                </c:pt>
                <c:pt idx="3">
                  <c:v>0</c:v>
                </c:pt>
                <c:pt idx="4">
                  <c:v>513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14FA-47A9-891B-1A06712581B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709394880"/>
        <c:axId val="709398816"/>
        <c:axId val="0"/>
      </c:bar3DChart>
      <c:catAx>
        <c:axId val="7093948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09398816"/>
        <c:crosses val="autoZero"/>
        <c:auto val="1"/>
        <c:lblAlgn val="ctr"/>
        <c:lblOffset val="100"/>
        <c:noMultiLvlLbl val="0"/>
      </c:catAx>
      <c:valAx>
        <c:axId val="7093988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dk1">
                  <a:lumMod val="50000"/>
                  <a:lumOff val="50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093948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spc="100" baseline="0">
              <a:solidFill>
                <a:schemeClr val="lt1">
                  <a:lumMod val="95000"/>
                </a:schemeClr>
              </a:solidFill>
              <a:effectLst>
                <a:outerShdw blurRad="50800" dist="38100" dir="5400000" algn="t" rotWithShape="0">
                  <a:prstClr val="black">
                    <a:alpha val="40000"/>
                  </a:prstClr>
                </a:outerShdw>
              </a:effectLst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4.3088376031503332E-2"/>
          <c:y val="0.17373811987037169"/>
          <c:w val="0.90897035090075695"/>
          <c:h val="0.80570859270863393"/>
        </c:manualLayout>
      </c:layout>
      <c:pie3DChart>
        <c:varyColors val="1"/>
        <c:ser>
          <c:idx val="0"/>
          <c:order val="0"/>
          <c:tx>
            <c:strRef>
              <c:f>'Domestik Penduduk'!$N$5</c:f>
              <c:strCache>
                <c:ptCount val="1"/>
                <c:pt idx="0">
                  <c:v>Potensi Beban (kg/hari)</c:v>
                </c:pt>
              </c:strCache>
            </c:strRef>
          </c:tx>
          <c:explosion val="12"/>
          <c:dPt>
            <c:idx val="0"/>
            <c:bubble3D val="0"/>
            <c:spPr>
              <a:gradFill rotWithShape="1">
                <a:gsLst>
                  <a:gs pos="0">
                    <a:schemeClr val="accent1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1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1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1-3F96-463D-A82E-84354813E414}"/>
              </c:ext>
            </c:extLst>
          </c:dPt>
          <c:dPt>
            <c:idx val="1"/>
            <c:bubble3D val="0"/>
            <c:spPr>
              <a:gradFill rotWithShape="1">
                <a:gsLst>
                  <a:gs pos="0">
                    <a:schemeClr val="accent2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2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2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3-2115-4BAE-B40D-0F61A6EFB6F6}"/>
              </c:ext>
            </c:extLst>
          </c:dPt>
          <c:dPt>
            <c:idx val="2"/>
            <c:bubble3D val="0"/>
            <c:spPr>
              <a:gradFill rotWithShape="1">
                <a:gsLst>
                  <a:gs pos="0">
                    <a:schemeClr val="accent3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3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3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5-2115-4BAE-B40D-0F61A6EFB6F6}"/>
              </c:ext>
            </c:extLst>
          </c:dPt>
          <c:dPt>
            <c:idx val="3"/>
            <c:bubble3D val="0"/>
            <c:spPr>
              <a:gradFill rotWithShape="1">
                <a:gsLst>
                  <a:gs pos="0">
                    <a:schemeClr val="accent4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4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4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7-2115-4BAE-B40D-0F61A6EFB6F6}"/>
              </c:ext>
            </c:extLst>
          </c:dPt>
          <c:dPt>
            <c:idx val="4"/>
            <c:bubble3D val="0"/>
            <c:spPr>
              <a:gradFill rotWithShape="1">
                <a:gsLst>
                  <a:gs pos="0">
                    <a:schemeClr val="accent5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5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5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9-2115-4BAE-B40D-0F61A6EFB6F6}"/>
              </c:ext>
            </c:extLst>
          </c:dPt>
          <c:dLbls>
            <c:dLbl>
              <c:idx val="0"/>
              <c:layout>
                <c:manualLayout>
                  <c:x val="-5.1415488804232794E-2"/>
                  <c:y val="-1.207613531935712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3F96-463D-A82E-84354813E414}"/>
                </c:ext>
              </c:extLst>
            </c:dLbl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wedgeRectCallout">
                    <a:avLst/>
                  </a:prstGeom>
                  <a:noFill/>
                  <a:ln>
                    <a:noFill/>
                  </a:ln>
                </c15:spPr>
              </c:ext>
            </c:extLst>
          </c:dLbls>
          <c:cat>
            <c:strRef>
              <c:f>'Domestik Penduduk'!$M$6:$M$10</c:f>
              <c:strCache>
                <c:ptCount val="5"/>
                <c:pt idx="0">
                  <c:v>Samarinda Kota</c:v>
                </c:pt>
                <c:pt idx="1">
                  <c:v>Samarinda Ulu</c:v>
                </c:pt>
                <c:pt idx="2">
                  <c:v>Samarinda Ilir</c:v>
                </c:pt>
                <c:pt idx="3">
                  <c:v>Sungai Pinang</c:v>
                </c:pt>
                <c:pt idx="4">
                  <c:v>Samarinda Utara</c:v>
                </c:pt>
              </c:strCache>
            </c:strRef>
          </c:cat>
          <c:val>
            <c:numRef>
              <c:f>'Domestik Penduduk'!$N$6:$N$10</c:f>
              <c:numCache>
                <c:formatCode>0.00</c:formatCode>
                <c:ptCount val="5"/>
                <c:pt idx="0">
                  <c:v>1191.33</c:v>
                </c:pt>
                <c:pt idx="1">
                  <c:v>2106.8379999999997</c:v>
                </c:pt>
                <c:pt idx="2">
                  <c:v>2030.288</c:v>
                </c:pt>
                <c:pt idx="3">
                  <c:v>2977.0447500000005</c:v>
                </c:pt>
                <c:pt idx="4">
                  <c:v>1104.1046249999999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F96-463D-A82E-84354813E414}"/>
            </c:ext>
          </c:extLst>
        </c:ser>
        <c:dLbls>
          <c:dLblPos val="bestFit"/>
          <c:showLegendKey val="0"/>
          <c:showVal val="0"/>
          <c:showCatName val="0"/>
          <c:showSerName val="0"/>
          <c:showPercent val="0"/>
          <c:showBubbleSize val="0"/>
          <c:showLeaderLines val="0"/>
        </c:dLbls>
      </c:pie3D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spc="100" baseline="0">
                <a:solidFill>
                  <a:schemeClr val="lt1">
                    <a:lumMod val="95000"/>
                  </a:schemeClr>
                </a:solidFill>
                <a:effectLst>
                  <a:outerShdw blurRad="50800" dist="38100" dir="5400000" algn="t" rotWithShape="0">
                    <a:prstClr val="black">
                      <a:alpha val="40000"/>
                    </a:prstClr>
                  </a:outerShdw>
                </a:effectLst>
                <a:latin typeface="+mn-lt"/>
                <a:ea typeface="+mn-ea"/>
                <a:cs typeface="+mn-cs"/>
              </a:defRPr>
            </a:pPr>
            <a:r>
              <a:rPr lang="en-US"/>
              <a:t>Penggunaan</a:t>
            </a:r>
            <a:r>
              <a:rPr lang="en-US" baseline="0"/>
              <a:t> Lahan</a:t>
            </a:r>
            <a:endParaRPr lang="en-US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spc="100" baseline="0">
              <a:solidFill>
                <a:schemeClr val="lt1">
                  <a:lumMod val="95000"/>
                </a:schemeClr>
              </a:solidFill>
              <a:effectLst>
                <a:outerShdw blurRad="50800" dist="38100" dir="5400000" algn="t" rotWithShape="0">
                  <a:prstClr val="black">
                    <a:alpha val="40000"/>
                  </a:prstClr>
                </a:outerShdw>
              </a:effectLst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percentStacked"/>
        <c:varyColors val="0"/>
        <c:ser>
          <c:idx val="0"/>
          <c:order val="0"/>
          <c:tx>
            <c:strRef>
              <c:f>'Penggunaan Lahan'!$O$7</c:f>
              <c:strCache>
                <c:ptCount val="1"/>
                <c:pt idx="0">
                  <c:v>Lahan Terbangun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cat>
            <c:strRef>
              <c:f>'Penggunaan Lahan'!$N$8:$N$12</c:f>
              <c:strCache>
                <c:ptCount val="5"/>
                <c:pt idx="0">
                  <c:v>Samarinda Kota</c:v>
                </c:pt>
                <c:pt idx="1">
                  <c:v>Samarinda Ulu</c:v>
                </c:pt>
                <c:pt idx="2">
                  <c:v>Samarinda Ilir</c:v>
                </c:pt>
                <c:pt idx="3">
                  <c:v>Sungai Pinang</c:v>
                </c:pt>
                <c:pt idx="4">
                  <c:v>Samarinda Utara</c:v>
                </c:pt>
              </c:strCache>
            </c:strRef>
          </c:cat>
          <c:val>
            <c:numRef>
              <c:f>'Penggunaan Lahan'!$O$8:$O$12</c:f>
              <c:numCache>
                <c:formatCode>0.00</c:formatCode>
                <c:ptCount val="5"/>
                <c:pt idx="0">
                  <c:v>57.362395999999997</c:v>
                </c:pt>
                <c:pt idx="1">
                  <c:v>65.492596000000006</c:v>
                </c:pt>
                <c:pt idx="2">
                  <c:v>34.192860000000003</c:v>
                </c:pt>
                <c:pt idx="3">
                  <c:v>160.65888799999999</c:v>
                </c:pt>
                <c:pt idx="4">
                  <c:v>317.61163199999999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44-4048-AE43-BE8F9012C7FE}"/>
            </c:ext>
          </c:extLst>
        </c:ser>
        <c:ser>
          <c:idx val="1"/>
          <c:order val="1"/>
          <c:tx>
            <c:strRef>
              <c:f>'Penggunaan Lahan'!$P$7</c:f>
              <c:strCache>
                <c:ptCount val="1"/>
                <c:pt idx="0">
                  <c:v>Hutan</c:v>
                </c:pt>
              </c:strCache>
            </c:strRef>
          </c:tx>
          <c:spPr>
            <a:gradFill rotWithShape="1">
              <a:gsLst>
                <a:gs pos="0">
                  <a:schemeClr val="accent2">
                    <a:satMod val="103000"/>
                    <a:lumMod val="102000"/>
                    <a:tint val="94000"/>
                  </a:schemeClr>
                </a:gs>
                <a:gs pos="50000">
                  <a:schemeClr val="accent2">
                    <a:satMod val="110000"/>
                    <a:lumMod val="100000"/>
                    <a:shade val="100000"/>
                  </a:schemeClr>
                </a:gs>
                <a:gs pos="100000">
                  <a:schemeClr val="accent2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cat>
            <c:strRef>
              <c:f>'Penggunaan Lahan'!$N$8:$N$12</c:f>
              <c:strCache>
                <c:ptCount val="5"/>
                <c:pt idx="0">
                  <c:v>Samarinda Kota</c:v>
                </c:pt>
                <c:pt idx="1">
                  <c:v>Samarinda Ulu</c:v>
                </c:pt>
                <c:pt idx="2">
                  <c:v>Samarinda Ilir</c:v>
                </c:pt>
                <c:pt idx="3">
                  <c:v>Sungai Pinang</c:v>
                </c:pt>
                <c:pt idx="4">
                  <c:v>Samarinda Utara</c:v>
                </c:pt>
              </c:strCache>
            </c:strRef>
          </c:cat>
          <c:val>
            <c:numRef>
              <c:f>'Penggunaan Lahan'!$P$8:$P$12</c:f>
              <c:numCache>
                <c:formatCode>General</c:formatCode>
                <c:ptCount val="5"/>
                <c:pt idx="0" formatCode="0.00">
                  <c:v>1.7260640000000003</c:v>
                </c:pt>
                <c:pt idx="1">
                  <c:v>0</c:v>
                </c:pt>
                <c:pt idx="2">
                  <c:v>0</c:v>
                </c:pt>
                <c:pt idx="3" formatCode="0.00">
                  <c:v>20.802240000000001</c:v>
                </c:pt>
                <c:pt idx="4" formatCode="0.00">
                  <c:v>57.5976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B44-4048-AE43-BE8F9012C7FE}"/>
            </c:ext>
          </c:extLst>
        </c:ser>
        <c:ser>
          <c:idx val="2"/>
          <c:order val="2"/>
          <c:tx>
            <c:strRef>
              <c:f>'Penggunaan Lahan'!$Q$7</c:f>
              <c:strCache>
                <c:ptCount val="1"/>
                <c:pt idx="0">
                  <c:v>Semak Belukar</c:v>
                </c:pt>
              </c:strCache>
            </c:strRef>
          </c:tx>
          <c:spPr>
            <a:gradFill rotWithShape="1">
              <a:gsLst>
                <a:gs pos="0">
                  <a:schemeClr val="accent3">
                    <a:satMod val="103000"/>
                    <a:lumMod val="102000"/>
                    <a:tint val="94000"/>
                  </a:schemeClr>
                </a:gs>
                <a:gs pos="50000">
                  <a:schemeClr val="accent3">
                    <a:satMod val="110000"/>
                    <a:lumMod val="100000"/>
                    <a:shade val="100000"/>
                  </a:schemeClr>
                </a:gs>
                <a:gs pos="100000">
                  <a:schemeClr val="accent3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cat>
            <c:strRef>
              <c:f>'Penggunaan Lahan'!$N$8:$N$12</c:f>
              <c:strCache>
                <c:ptCount val="5"/>
                <c:pt idx="0">
                  <c:v>Samarinda Kota</c:v>
                </c:pt>
                <c:pt idx="1">
                  <c:v>Samarinda Ulu</c:v>
                </c:pt>
                <c:pt idx="2">
                  <c:v>Samarinda Ilir</c:v>
                </c:pt>
                <c:pt idx="3">
                  <c:v>Sungai Pinang</c:v>
                </c:pt>
                <c:pt idx="4">
                  <c:v>Samarinda Utara</c:v>
                </c:pt>
              </c:strCache>
            </c:strRef>
          </c:cat>
          <c:val>
            <c:numRef>
              <c:f>'Penggunaan Lahan'!$Q$8:$Q$12</c:f>
              <c:numCache>
                <c:formatCode>General</c:formatCode>
                <c:ptCount val="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 formatCode="0.00">
                  <c:v>49.451920000000008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B44-4048-AE43-BE8F9012C7FE}"/>
            </c:ext>
          </c:extLst>
        </c:ser>
        <c:ser>
          <c:idx val="3"/>
          <c:order val="3"/>
          <c:tx>
            <c:strRef>
              <c:f>'Penggunaan Lahan'!$R$7</c:f>
              <c:strCache>
                <c:ptCount val="1"/>
                <c:pt idx="0">
                  <c:v>Sawah</c:v>
                </c:pt>
              </c:strCache>
            </c:strRef>
          </c:tx>
          <c:spPr>
            <a:gradFill rotWithShape="1">
              <a:gsLst>
                <a:gs pos="0">
                  <a:schemeClr val="accent4">
                    <a:satMod val="103000"/>
                    <a:lumMod val="102000"/>
                    <a:tint val="94000"/>
                  </a:schemeClr>
                </a:gs>
                <a:gs pos="50000">
                  <a:schemeClr val="accent4">
                    <a:satMod val="110000"/>
                    <a:lumMod val="100000"/>
                    <a:shade val="100000"/>
                  </a:schemeClr>
                </a:gs>
                <a:gs pos="100000">
                  <a:schemeClr val="accent4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cat>
            <c:strRef>
              <c:f>'Penggunaan Lahan'!$N$8:$N$12</c:f>
              <c:strCache>
                <c:ptCount val="5"/>
                <c:pt idx="0">
                  <c:v>Samarinda Kota</c:v>
                </c:pt>
                <c:pt idx="1">
                  <c:v>Samarinda Ulu</c:v>
                </c:pt>
                <c:pt idx="2">
                  <c:v>Samarinda Ilir</c:v>
                </c:pt>
                <c:pt idx="3">
                  <c:v>Sungai Pinang</c:v>
                </c:pt>
                <c:pt idx="4">
                  <c:v>Samarinda Utara</c:v>
                </c:pt>
              </c:strCache>
            </c:strRef>
          </c:cat>
          <c:val>
            <c:numRef>
              <c:f>'Penggunaan Lahan'!$R$8:$R$12</c:f>
              <c:numCache>
                <c:formatCode>General</c:formatCode>
                <c:ptCount val="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 formatCode="0.00">
                  <c:v>448.23761999999999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CB44-4048-AE43-BE8F9012C7FE}"/>
            </c:ext>
          </c:extLst>
        </c:ser>
        <c:ser>
          <c:idx val="4"/>
          <c:order val="4"/>
          <c:tx>
            <c:strRef>
              <c:f>'Penggunaan Lahan'!$S$7</c:f>
              <c:strCache>
                <c:ptCount val="1"/>
                <c:pt idx="0">
                  <c:v>Kebun</c:v>
                </c:pt>
              </c:strCache>
            </c:strRef>
          </c:tx>
          <c:spPr>
            <a:gradFill rotWithShape="1">
              <a:gsLst>
                <a:gs pos="0">
                  <a:schemeClr val="accent5">
                    <a:satMod val="103000"/>
                    <a:lumMod val="102000"/>
                    <a:tint val="94000"/>
                  </a:schemeClr>
                </a:gs>
                <a:gs pos="50000">
                  <a:schemeClr val="accent5">
                    <a:satMod val="110000"/>
                    <a:lumMod val="100000"/>
                    <a:shade val="100000"/>
                  </a:schemeClr>
                </a:gs>
                <a:gs pos="100000">
                  <a:schemeClr val="accent5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cat>
            <c:strRef>
              <c:f>'Penggunaan Lahan'!$N$8:$N$12</c:f>
              <c:strCache>
                <c:ptCount val="5"/>
                <c:pt idx="0">
                  <c:v>Samarinda Kota</c:v>
                </c:pt>
                <c:pt idx="1">
                  <c:v>Samarinda Ulu</c:v>
                </c:pt>
                <c:pt idx="2">
                  <c:v>Samarinda Ilir</c:v>
                </c:pt>
                <c:pt idx="3">
                  <c:v>Sungai Pinang</c:v>
                </c:pt>
                <c:pt idx="4">
                  <c:v>Samarinda Utara</c:v>
                </c:pt>
              </c:strCache>
            </c:strRef>
          </c:cat>
          <c:val>
            <c:numRef>
              <c:f>'Penggunaan Lahan'!$S$8:$S$12</c:f>
              <c:numCache>
                <c:formatCode>General</c:formatCode>
                <c:ptCount val="5"/>
                <c:pt idx="0">
                  <c:v>0</c:v>
                </c:pt>
                <c:pt idx="1">
                  <c:v>49</c:v>
                </c:pt>
                <c:pt idx="2">
                  <c:v>2.5</c:v>
                </c:pt>
                <c:pt idx="3">
                  <c:v>2.5</c:v>
                </c:pt>
                <c:pt idx="4">
                  <c:v>3117.4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CB44-4048-AE43-BE8F9012C7F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986036496"/>
        <c:axId val="986036824"/>
        <c:axId val="0"/>
      </c:bar3DChart>
      <c:catAx>
        <c:axId val="9860364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86036824"/>
        <c:crosses val="autoZero"/>
        <c:auto val="1"/>
        <c:lblAlgn val="ctr"/>
        <c:lblOffset val="100"/>
        <c:noMultiLvlLbl val="0"/>
      </c:catAx>
      <c:valAx>
        <c:axId val="98603682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dk1">
                  <a:lumMod val="50000"/>
                  <a:lumOff val="50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8603649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spc="100" baseline="0">
              <a:solidFill>
                <a:schemeClr val="lt1">
                  <a:lumMod val="95000"/>
                </a:schemeClr>
              </a:solidFill>
              <a:effectLst>
                <a:outerShdw blurRad="50800" dist="38100" dir="5400000" algn="t" rotWithShape="0">
                  <a:prstClr val="black">
                    <a:alpha val="40000"/>
                  </a:prstClr>
                </a:outerShdw>
              </a:effectLst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'Summary Penggunaan Lahan'!$D$3:$D$4</c:f>
              <c:strCache>
                <c:ptCount val="2"/>
                <c:pt idx="0">
                  <c:v>Luasan</c:v>
                </c:pt>
                <c:pt idx="1">
                  <c:v>(ha)</c:v>
                </c:pt>
              </c:strCache>
            </c:strRef>
          </c:tx>
          <c:dPt>
            <c:idx val="0"/>
            <c:bubble3D val="0"/>
            <c:spPr>
              <a:gradFill rotWithShape="1">
                <a:gsLst>
                  <a:gs pos="0">
                    <a:schemeClr val="accent1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1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1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1-3066-4A9E-B4EA-2B6E7CE151A6}"/>
              </c:ext>
            </c:extLst>
          </c:dPt>
          <c:dPt>
            <c:idx val="1"/>
            <c:bubble3D val="0"/>
            <c:spPr>
              <a:gradFill rotWithShape="1">
                <a:gsLst>
                  <a:gs pos="0">
                    <a:schemeClr val="accent2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2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2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3-3066-4A9E-B4EA-2B6E7CE151A6}"/>
              </c:ext>
            </c:extLst>
          </c:dPt>
          <c:dPt>
            <c:idx val="2"/>
            <c:bubble3D val="0"/>
            <c:spPr>
              <a:gradFill rotWithShape="1">
                <a:gsLst>
                  <a:gs pos="0">
                    <a:schemeClr val="accent3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3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3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5-3066-4A9E-B4EA-2B6E7CE151A6}"/>
              </c:ext>
            </c:extLst>
          </c:dPt>
          <c:dPt>
            <c:idx val="3"/>
            <c:bubble3D val="0"/>
            <c:spPr>
              <a:gradFill rotWithShape="1">
                <a:gsLst>
                  <a:gs pos="0">
                    <a:schemeClr val="accent4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4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4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7-3066-4A9E-B4EA-2B6E7CE151A6}"/>
              </c:ext>
            </c:extLst>
          </c:dPt>
          <c:dPt>
            <c:idx val="4"/>
            <c:bubble3D val="0"/>
            <c:spPr>
              <a:gradFill rotWithShape="1">
                <a:gsLst>
                  <a:gs pos="0">
                    <a:schemeClr val="accent5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5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5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9-3066-4A9E-B4EA-2B6E7CE151A6}"/>
              </c:ext>
            </c:extLst>
          </c:dPt>
          <c:dPt>
            <c:idx val="5"/>
            <c:bubble3D val="0"/>
            <c:spPr>
              <a:gradFill rotWithShape="1">
                <a:gsLst>
                  <a:gs pos="0">
                    <a:schemeClr val="accent6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6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6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B-3066-4A9E-B4EA-2B6E7CE151A6}"/>
              </c:ext>
            </c:extLst>
          </c:dPt>
          <c:dPt>
            <c:idx val="6"/>
            <c:bubble3D val="0"/>
            <c:spPr>
              <a:gradFill rotWithShape="1">
                <a:gsLst>
                  <a:gs pos="0">
                    <a:schemeClr val="accent1">
                      <a:lumMod val="60000"/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1">
                      <a:lumMod val="60000"/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1">
                      <a:lumMod val="60000"/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D-3066-4A9E-B4EA-2B6E7CE151A6}"/>
              </c:ext>
            </c:extLst>
          </c:dPt>
          <c:dPt>
            <c:idx val="7"/>
            <c:bubble3D val="0"/>
            <c:spPr>
              <a:gradFill rotWithShape="1">
                <a:gsLst>
                  <a:gs pos="0">
                    <a:schemeClr val="accent2">
                      <a:lumMod val="60000"/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2">
                      <a:lumMod val="60000"/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2">
                      <a:lumMod val="60000"/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F-3066-4A9E-B4EA-2B6E7CE151A6}"/>
              </c:ext>
            </c:extLst>
          </c:dPt>
          <c:dPt>
            <c:idx val="8"/>
            <c:bubble3D val="0"/>
            <c:spPr>
              <a:gradFill rotWithShape="1">
                <a:gsLst>
                  <a:gs pos="0">
                    <a:schemeClr val="accent3">
                      <a:lumMod val="60000"/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3">
                      <a:lumMod val="60000"/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3">
                      <a:lumMod val="60000"/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11-3066-4A9E-B4EA-2B6E7CE151A6}"/>
              </c:ext>
            </c:extLst>
          </c:dPt>
          <c:dPt>
            <c:idx val="9"/>
            <c:bubble3D val="0"/>
            <c:spPr>
              <a:gradFill rotWithShape="1">
                <a:gsLst>
                  <a:gs pos="0">
                    <a:schemeClr val="accent4">
                      <a:lumMod val="60000"/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4">
                      <a:lumMod val="60000"/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4">
                      <a:lumMod val="60000"/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13-3066-4A9E-B4EA-2B6E7CE151A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lt1">
                      <a:lumMod val="95000"/>
                      <a:alpha val="54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'Summary Penggunaan Lahan'!$C$5:$C$14</c:f>
              <c:strCache>
                <c:ptCount val="10"/>
                <c:pt idx="0">
                  <c:v>Ladang (Ld)</c:v>
                </c:pt>
                <c:pt idx="1">
                  <c:v>Hutan (Ht)</c:v>
                </c:pt>
                <c:pt idx="2">
                  <c:v>Belukar (Bk)</c:v>
                </c:pt>
                <c:pt idx="3">
                  <c:v>Kebun Campuran (Kc)</c:v>
                </c:pt>
                <c:pt idx="4">
                  <c:v>Semak (Sm)</c:v>
                </c:pt>
                <c:pt idx="5">
                  <c:v>Sawah (Sw)</c:v>
                </c:pt>
                <c:pt idx="6">
                  <c:v>Kebun (Kb)</c:v>
                </c:pt>
                <c:pt idx="7">
                  <c:v>Permukiman (Pm)</c:v>
                </c:pt>
                <c:pt idx="8">
                  <c:v>Perluasan Permukiman (Pp)</c:v>
                </c:pt>
                <c:pt idx="9">
                  <c:v>Rawa (Rw)</c:v>
                </c:pt>
              </c:strCache>
            </c:strRef>
          </c:cat>
          <c:val>
            <c:numRef>
              <c:f>'Summary Penggunaan Lahan'!$D$5:$D$14</c:f>
              <c:numCache>
                <c:formatCode>General</c:formatCode>
                <c:ptCount val="10"/>
                <c:pt idx="0">
                  <c:v>203.13</c:v>
                </c:pt>
                <c:pt idx="1">
                  <c:v>146.15</c:v>
                </c:pt>
                <c:pt idx="2">
                  <c:v>6996.25</c:v>
                </c:pt>
                <c:pt idx="3">
                  <c:v>4473.4399999999996</c:v>
                </c:pt>
                <c:pt idx="4">
                  <c:v>14501.36</c:v>
                </c:pt>
                <c:pt idx="5">
                  <c:v>648.99</c:v>
                </c:pt>
                <c:pt idx="6">
                  <c:v>1106.6400000000001</c:v>
                </c:pt>
                <c:pt idx="7">
                  <c:v>2267.7800000000002</c:v>
                </c:pt>
                <c:pt idx="8">
                  <c:v>215.61</c:v>
                </c:pt>
                <c:pt idx="9">
                  <c:v>915.63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E30-4392-AE92-D2B0125B2AAA}"/>
            </c:ext>
          </c:extLst>
        </c:ser>
        <c:ser>
          <c:idx val="1"/>
          <c:order val="1"/>
          <c:tx>
            <c:strRef>
              <c:f>'Summary Penggunaan Lahan'!$E$3:$E$4</c:f>
              <c:strCache>
                <c:ptCount val="2"/>
                <c:pt idx="0">
                  <c:v>Luasan</c:v>
                </c:pt>
                <c:pt idx="1">
                  <c:v>(%)</c:v>
                </c:pt>
              </c:strCache>
            </c:strRef>
          </c:tx>
          <c:dPt>
            <c:idx val="0"/>
            <c:bubble3D val="0"/>
            <c:spPr>
              <a:gradFill rotWithShape="1">
                <a:gsLst>
                  <a:gs pos="0">
                    <a:schemeClr val="accent1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1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1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15-3066-4A9E-B4EA-2B6E7CE151A6}"/>
              </c:ext>
            </c:extLst>
          </c:dPt>
          <c:dPt>
            <c:idx val="1"/>
            <c:bubble3D val="0"/>
            <c:spPr>
              <a:gradFill rotWithShape="1">
                <a:gsLst>
                  <a:gs pos="0">
                    <a:schemeClr val="accent2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2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2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17-3066-4A9E-B4EA-2B6E7CE151A6}"/>
              </c:ext>
            </c:extLst>
          </c:dPt>
          <c:dPt>
            <c:idx val="2"/>
            <c:bubble3D val="0"/>
            <c:spPr>
              <a:gradFill rotWithShape="1">
                <a:gsLst>
                  <a:gs pos="0">
                    <a:schemeClr val="accent3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3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3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19-3066-4A9E-B4EA-2B6E7CE151A6}"/>
              </c:ext>
            </c:extLst>
          </c:dPt>
          <c:dPt>
            <c:idx val="3"/>
            <c:bubble3D val="0"/>
            <c:spPr>
              <a:gradFill rotWithShape="1">
                <a:gsLst>
                  <a:gs pos="0">
                    <a:schemeClr val="accent4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4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4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1B-3066-4A9E-B4EA-2B6E7CE151A6}"/>
              </c:ext>
            </c:extLst>
          </c:dPt>
          <c:dPt>
            <c:idx val="4"/>
            <c:bubble3D val="0"/>
            <c:spPr>
              <a:gradFill rotWithShape="1">
                <a:gsLst>
                  <a:gs pos="0">
                    <a:schemeClr val="accent5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5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5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1D-3066-4A9E-B4EA-2B6E7CE151A6}"/>
              </c:ext>
            </c:extLst>
          </c:dPt>
          <c:dPt>
            <c:idx val="5"/>
            <c:bubble3D val="0"/>
            <c:spPr>
              <a:gradFill rotWithShape="1">
                <a:gsLst>
                  <a:gs pos="0">
                    <a:schemeClr val="accent6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6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6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1F-3066-4A9E-B4EA-2B6E7CE151A6}"/>
              </c:ext>
            </c:extLst>
          </c:dPt>
          <c:dPt>
            <c:idx val="6"/>
            <c:bubble3D val="0"/>
            <c:spPr>
              <a:gradFill rotWithShape="1">
                <a:gsLst>
                  <a:gs pos="0">
                    <a:schemeClr val="accent1">
                      <a:lumMod val="60000"/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1">
                      <a:lumMod val="60000"/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1">
                      <a:lumMod val="60000"/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21-3066-4A9E-B4EA-2B6E7CE151A6}"/>
              </c:ext>
            </c:extLst>
          </c:dPt>
          <c:dPt>
            <c:idx val="7"/>
            <c:bubble3D val="0"/>
            <c:spPr>
              <a:gradFill rotWithShape="1">
                <a:gsLst>
                  <a:gs pos="0">
                    <a:schemeClr val="accent2">
                      <a:lumMod val="60000"/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2">
                      <a:lumMod val="60000"/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2">
                      <a:lumMod val="60000"/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23-3066-4A9E-B4EA-2B6E7CE151A6}"/>
              </c:ext>
            </c:extLst>
          </c:dPt>
          <c:dPt>
            <c:idx val="8"/>
            <c:bubble3D val="0"/>
            <c:spPr>
              <a:gradFill rotWithShape="1">
                <a:gsLst>
                  <a:gs pos="0">
                    <a:schemeClr val="accent3">
                      <a:lumMod val="60000"/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3">
                      <a:lumMod val="60000"/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3">
                      <a:lumMod val="60000"/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25-3066-4A9E-B4EA-2B6E7CE151A6}"/>
              </c:ext>
            </c:extLst>
          </c:dPt>
          <c:dPt>
            <c:idx val="9"/>
            <c:bubble3D val="0"/>
            <c:spPr>
              <a:gradFill rotWithShape="1">
                <a:gsLst>
                  <a:gs pos="0">
                    <a:schemeClr val="accent4">
                      <a:lumMod val="60000"/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4">
                      <a:lumMod val="60000"/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4">
                      <a:lumMod val="60000"/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27-3066-4A9E-B4EA-2B6E7CE151A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lt1">
                      <a:lumMod val="95000"/>
                      <a:alpha val="54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'Summary Penggunaan Lahan'!$C$5:$C$14</c:f>
              <c:strCache>
                <c:ptCount val="10"/>
                <c:pt idx="0">
                  <c:v>Ladang (Ld)</c:v>
                </c:pt>
                <c:pt idx="1">
                  <c:v>Hutan (Ht)</c:v>
                </c:pt>
                <c:pt idx="2">
                  <c:v>Belukar (Bk)</c:v>
                </c:pt>
                <c:pt idx="3">
                  <c:v>Kebun Campuran (Kc)</c:v>
                </c:pt>
                <c:pt idx="4">
                  <c:v>Semak (Sm)</c:v>
                </c:pt>
                <c:pt idx="5">
                  <c:v>Sawah (Sw)</c:v>
                </c:pt>
                <c:pt idx="6">
                  <c:v>Kebun (Kb)</c:v>
                </c:pt>
                <c:pt idx="7">
                  <c:v>Permukiman (Pm)</c:v>
                </c:pt>
                <c:pt idx="8">
                  <c:v>Perluasan Permukiman (Pp)</c:v>
                </c:pt>
                <c:pt idx="9">
                  <c:v>Rawa (Rw)</c:v>
                </c:pt>
              </c:strCache>
            </c:strRef>
          </c:cat>
          <c:val>
            <c:numRef>
              <c:f>'Summary Penggunaan Lahan'!$E$5:$E$14</c:f>
              <c:numCache>
                <c:formatCode>0.00</c:formatCode>
                <c:ptCount val="10"/>
                <c:pt idx="0">
                  <c:v>0.64536975083065973</c:v>
                </c:pt>
                <c:pt idx="1">
                  <c:v>0.46433707026978255</c:v>
                </c:pt>
                <c:pt idx="2">
                  <c:v>22.227972821587176</c:v>
                </c:pt>
                <c:pt idx="3">
                  <c:v>14.212685758656557</c:v>
                </c:pt>
                <c:pt idx="4">
                  <c:v>46.072658346407209</c:v>
                </c:pt>
                <c:pt idx="5">
                  <c:v>2.0619234706423959</c:v>
                </c:pt>
                <c:pt idx="6">
                  <c:v>3.51593551449437</c:v>
                </c:pt>
                <c:pt idx="7">
                  <c:v>7.2050244352816106</c:v>
                </c:pt>
                <c:pt idx="8">
                  <c:v>0.68502029230836681</c:v>
                </c:pt>
                <c:pt idx="9">
                  <c:v>2.9090725395218673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E30-4392-AE92-D2B0125B2AAA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spc="100" baseline="0">
                <a:solidFill>
                  <a:schemeClr val="lt1">
                    <a:lumMod val="95000"/>
                  </a:schemeClr>
                </a:solidFill>
                <a:effectLst>
                  <a:outerShdw blurRad="50800" dist="38100" dir="5400000" algn="t" rotWithShape="0">
                    <a:prstClr val="black">
                      <a:alpha val="40000"/>
                    </a:prstClr>
                  </a:outerShdw>
                </a:effectLst>
                <a:latin typeface="+mn-lt"/>
                <a:ea typeface="+mn-ea"/>
                <a:cs typeface="+mn-cs"/>
              </a:defRPr>
            </a:pPr>
            <a:r>
              <a:rPr lang="en-US"/>
              <a:t>Kecamatan Wilayah SKM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spc="100" baseline="0">
              <a:solidFill>
                <a:schemeClr val="lt1">
                  <a:lumMod val="95000"/>
                </a:schemeClr>
              </a:solidFill>
              <a:effectLst>
                <a:outerShdw blurRad="50800" dist="38100" dir="5400000" algn="t" rotWithShape="0">
                  <a:prstClr val="black">
                    <a:alpha val="40000"/>
                  </a:prstClr>
                </a:outerShdw>
              </a:effectLst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8.7499999999999994E-2"/>
          <c:y val="0.29344371337144498"/>
          <c:w val="0.86944444444444446"/>
          <c:h val="0.70323769460324304"/>
        </c:manualLayout>
      </c:layout>
      <c:pie3DChart>
        <c:varyColors val="1"/>
        <c:ser>
          <c:idx val="0"/>
          <c:order val="0"/>
          <c:tx>
            <c:strRef>
              <c:f>'Summary Penggunaan Lahan'!$D$103</c:f>
              <c:strCache>
                <c:ptCount val="1"/>
                <c:pt idx="0">
                  <c:v>Luas (Ha)</c:v>
                </c:pt>
              </c:strCache>
            </c:strRef>
          </c:tx>
          <c:dPt>
            <c:idx val="0"/>
            <c:bubble3D val="0"/>
            <c:explosion val="13"/>
            <c:spPr>
              <a:gradFill rotWithShape="1">
                <a:gsLst>
                  <a:gs pos="0">
                    <a:schemeClr val="accent6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6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6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1-D86B-44C0-AF49-0731F4FD8ED0}"/>
              </c:ext>
            </c:extLst>
          </c:dPt>
          <c:dPt>
            <c:idx val="1"/>
            <c:bubble3D val="0"/>
            <c:explosion val="9"/>
            <c:spPr>
              <a:gradFill rotWithShape="1">
                <a:gsLst>
                  <a:gs pos="0">
                    <a:schemeClr val="accent5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5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5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2-D86B-44C0-AF49-0731F4FD8ED0}"/>
              </c:ext>
            </c:extLst>
          </c:dPt>
          <c:dPt>
            <c:idx val="2"/>
            <c:bubble3D val="0"/>
            <c:explosion val="7"/>
            <c:spPr>
              <a:gradFill rotWithShape="1">
                <a:gsLst>
                  <a:gs pos="0">
                    <a:schemeClr val="accent4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4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4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3-D86B-44C0-AF49-0731F4FD8ED0}"/>
              </c:ext>
            </c:extLst>
          </c:dPt>
          <c:dPt>
            <c:idx val="3"/>
            <c:bubble3D val="0"/>
            <c:explosion val="14"/>
            <c:spPr>
              <a:gradFill rotWithShape="1">
                <a:gsLst>
                  <a:gs pos="0">
                    <a:schemeClr val="accent6">
                      <a:lumMod val="60000"/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6">
                      <a:lumMod val="60000"/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6">
                      <a:lumMod val="60000"/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4-D86B-44C0-AF49-0731F4FD8ED0}"/>
              </c:ext>
            </c:extLst>
          </c:dPt>
          <c:dPt>
            <c:idx val="4"/>
            <c:bubble3D val="0"/>
            <c:explosion val="20"/>
            <c:spPr>
              <a:gradFill rotWithShape="1">
                <a:gsLst>
                  <a:gs pos="0">
                    <a:schemeClr val="accent5">
                      <a:lumMod val="60000"/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5">
                      <a:lumMod val="60000"/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5">
                      <a:lumMod val="60000"/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5-D86B-44C0-AF49-0731F4FD8ED0}"/>
              </c:ext>
            </c:extLst>
          </c:dPt>
          <c:dLbls>
            <c:dLbl>
              <c:idx val="0"/>
              <c:spPr>
                <a:solidFill>
                  <a:sysClr val="window" lastClr="FFFFFF"/>
                </a:solidFill>
                <a:ln>
                  <a:noFill/>
                </a:ln>
                <a:effectLst/>
              </c:spPr>
              <c:txPr>
                <a:bodyPr rot="0" spcFirstLastPara="1" vertOverflow="clip" horzOverflow="clip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900" b="0" i="0" u="none" strike="noStrike" kern="1200" baseline="0">
                      <a:solidFill>
                        <a:schemeClr val="dk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n-US"/>
                </a:p>
              </c:txPr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wedgeRectCallout">
                      <a:avLst/>
                    </a:prstGeom>
                    <a:noFill/>
                    <a:ln>
                      <a:noFill/>
                    </a:ln>
                  </c15:spPr>
                </c:ext>
                <c:ext xmlns:c16="http://schemas.microsoft.com/office/drawing/2014/chart" uri="{C3380CC4-5D6E-409C-BE32-E72D297353CC}">
                  <c16:uniqueId val="{00000001-D86B-44C0-AF49-0731F4FD8ED0}"/>
                </c:ext>
              </c:extLst>
            </c:dLbl>
            <c:dLbl>
              <c:idx val="1"/>
              <c:spPr>
                <a:solidFill>
                  <a:sysClr val="window" lastClr="FFFFFF"/>
                </a:solidFill>
                <a:ln>
                  <a:noFill/>
                </a:ln>
                <a:effectLst/>
              </c:spPr>
              <c:txPr>
                <a:bodyPr rot="0" spcFirstLastPara="1" vertOverflow="clip" horzOverflow="clip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900" b="0" i="0" u="none" strike="noStrike" kern="1200" baseline="0">
                      <a:solidFill>
                        <a:schemeClr val="dk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n-US"/>
                </a:p>
              </c:txPr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wedgeRectCallout">
                      <a:avLst/>
                    </a:prstGeom>
                    <a:noFill/>
                    <a:ln>
                      <a:noFill/>
                    </a:ln>
                  </c15:spPr>
                </c:ext>
                <c:ext xmlns:c16="http://schemas.microsoft.com/office/drawing/2014/chart" uri="{C3380CC4-5D6E-409C-BE32-E72D297353CC}">
                  <c16:uniqueId val="{00000002-D86B-44C0-AF49-0731F4FD8ED0}"/>
                </c:ext>
              </c:extLst>
            </c:dLbl>
            <c:dLbl>
              <c:idx val="2"/>
              <c:spPr>
                <a:solidFill>
                  <a:sysClr val="window" lastClr="FFFFFF"/>
                </a:solidFill>
                <a:ln>
                  <a:noFill/>
                </a:ln>
                <a:effectLst/>
              </c:spPr>
              <c:txPr>
                <a:bodyPr rot="0" spcFirstLastPara="1" vertOverflow="clip" horzOverflow="clip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900" b="0" i="0" u="none" strike="noStrike" kern="1200" baseline="0">
                      <a:solidFill>
                        <a:schemeClr val="dk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n-US"/>
                </a:p>
              </c:txPr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wedgeRectCallout">
                      <a:avLst/>
                    </a:prstGeom>
                    <a:noFill/>
                    <a:ln>
                      <a:noFill/>
                    </a:ln>
                  </c15:spPr>
                </c:ext>
                <c:ext xmlns:c16="http://schemas.microsoft.com/office/drawing/2014/chart" uri="{C3380CC4-5D6E-409C-BE32-E72D297353CC}">
                  <c16:uniqueId val="{00000003-D86B-44C0-AF49-0731F4FD8ED0}"/>
                </c:ext>
              </c:extLst>
            </c:dLbl>
            <c:dLbl>
              <c:idx val="3"/>
              <c:spPr>
                <a:solidFill>
                  <a:sysClr val="window" lastClr="FFFFFF"/>
                </a:solidFill>
                <a:ln>
                  <a:noFill/>
                </a:ln>
                <a:effectLst/>
              </c:spPr>
              <c:txPr>
                <a:bodyPr rot="0" spcFirstLastPara="1" vertOverflow="clip" horzOverflow="clip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900" b="0" i="0" u="none" strike="noStrike" kern="1200" baseline="0">
                      <a:solidFill>
                        <a:schemeClr val="dk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n-US"/>
                </a:p>
              </c:txPr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wedgeRectCallout">
                      <a:avLst/>
                    </a:prstGeom>
                    <a:noFill/>
                    <a:ln>
                      <a:noFill/>
                    </a:ln>
                  </c15:spPr>
                </c:ext>
                <c:ext xmlns:c16="http://schemas.microsoft.com/office/drawing/2014/chart" uri="{C3380CC4-5D6E-409C-BE32-E72D297353CC}">
                  <c16:uniqueId val="{00000004-D86B-44C0-AF49-0731F4FD8ED0}"/>
                </c:ext>
              </c:extLst>
            </c:dLbl>
            <c:dLbl>
              <c:idx val="4"/>
              <c:spPr>
                <a:solidFill>
                  <a:sysClr val="window" lastClr="FFFFFF"/>
                </a:solidFill>
                <a:ln>
                  <a:noFill/>
                </a:ln>
                <a:effectLst/>
              </c:spPr>
              <c:txPr>
                <a:bodyPr rot="0" spcFirstLastPara="1" vertOverflow="clip" horzOverflow="clip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900" b="0" i="0" u="none" strike="noStrike" kern="1200" baseline="0">
                      <a:solidFill>
                        <a:schemeClr val="dk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n-US"/>
                </a:p>
              </c:txPr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wedgeRectCallout">
                      <a:avLst/>
                    </a:prstGeom>
                    <a:noFill/>
                    <a:ln>
                      <a:noFill/>
                    </a:ln>
                  </c15:spPr>
                </c:ext>
                <c:ext xmlns:c16="http://schemas.microsoft.com/office/drawing/2014/chart" uri="{C3380CC4-5D6E-409C-BE32-E72D297353CC}">
                  <c16:uniqueId val="{00000005-D86B-44C0-AF49-0731F4FD8ED0}"/>
                </c:ext>
              </c:extLst>
            </c:dLbl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wedgeRectCallout">
                    <a:avLst/>
                  </a:prstGeom>
                  <a:noFill/>
                  <a:ln>
                    <a:noFill/>
                  </a:ln>
                </c15:spPr>
              </c:ext>
            </c:extLst>
          </c:dLbls>
          <c:cat>
            <c:strRef>
              <c:f>'Summary Penggunaan Lahan'!$C$104:$C$108</c:f>
              <c:strCache>
                <c:ptCount val="5"/>
                <c:pt idx="0">
                  <c:v>Samarinda Kota</c:v>
                </c:pt>
                <c:pt idx="1">
                  <c:v>Samarinda Utara</c:v>
                </c:pt>
                <c:pt idx="2">
                  <c:v>Samarinda Ilir</c:v>
                </c:pt>
                <c:pt idx="3">
                  <c:v>Samarinda Ulu</c:v>
                </c:pt>
                <c:pt idx="4">
                  <c:v>Sungai Pinang</c:v>
                </c:pt>
              </c:strCache>
            </c:strRef>
          </c:cat>
          <c:val>
            <c:numRef>
              <c:f>'Summary Penggunaan Lahan'!$D$104:$D$108</c:f>
              <c:numCache>
                <c:formatCode>General</c:formatCode>
                <c:ptCount val="5"/>
                <c:pt idx="0">
                  <c:v>1112</c:v>
                </c:pt>
                <c:pt idx="1">
                  <c:v>22952</c:v>
                </c:pt>
                <c:pt idx="2">
                  <c:v>1718</c:v>
                </c:pt>
                <c:pt idx="3">
                  <c:v>2212</c:v>
                </c:pt>
                <c:pt idx="4">
                  <c:v>3416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86B-44C0-AF49-0731F4FD8ED0}"/>
            </c:ext>
          </c:extLst>
        </c:ser>
        <c:dLbls>
          <c:dLblPos val="bestFit"/>
          <c:showLegendKey val="0"/>
          <c:showVal val="0"/>
          <c:showCatName val="0"/>
          <c:showSerName val="0"/>
          <c:showPercent val="0"/>
          <c:showBubbleSize val="0"/>
          <c:showLeaderLines val="0"/>
        </c:dLbls>
      </c:pie3D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spc="100" baseline="0">
                <a:solidFill>
                  <a:schemeClr val="lt1">
                    <a:lumMod val="95000"/>
                  </a:schemeClr>
                </a:solidFill>
                <a:effectLst>
                  <a:outerShdw blurRad="50800" dist="38100" dir="5400000" algn="t" rotWithShape="0">
                    <a:prstClr val="black">
                      <a:alpha val="40000"/>
                    </a:prstClr>
                  </a:outerShdw>
                </a:effectLst>
                <a:latin typeface="+mn-lt"/>
                <a:ea typeface="+mn-ea"/>
                <a:cs typeface="+mn-cs"/>
              </a:defRPr>
            </a:pPr>
            <a:r>
              <a:rPr lang="en-US"/>
              <a:t>Wilayah Kajian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spc="100" baseline="0">
              <a:solidFill>
                <a:schemeClr val="lt1">
                  <a:lumMod val="95000"/>
                </a:schemeClr>
              </a:solidFill>
              <a:effectLst>
                <a:outerShdw blurRad="50800" dist="38100" dir="5400000" algn="t" rotWithShape="0">
                  <a:prstClr val="black">
                    <a:alpha val="40000"/>
                  </a:prstClr>
                </a:outerShdw>
              </a:effectLst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ofPieChart>
        <c:ofPieType val="pie"/>
        <c:varyColors val="1"/>
        <c:ser>
          <c:idx val="0"/>
          <c:order val="0"/>
          <c:tx>
            <c:strRef>
              <c:f>'Summary Penggunaan Lahan'!$D$112</c:f>
              <c:strCache>
                <c:ptCount val="1"/>
                <c:pt idx="0">
                  <c:v>Value</c:v>
                </c:pt>
              </c:strCache>
            </c:strRef>
          </c:tx>
          <c:dPt>
            <c:idx val="0"/>
            <c:bubble3D val="0"/>
            <c:spPr>
              <a:gradFill rotWithShape="1">
                <a:gsLst>
                  <a:gs pos="0">
                    <a:schemeClr val="accent1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1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1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5695-40AB-9353-53F9E3DC80B4}"/>
              </c:ext>
            </c:extLst>
          </c:dPt>
          <c:dPt>
            <c:idx val="1"/>
            <c:bubble3D val="0"/>
            <c:spPr>
              <a:gradFill rotWithShape="1">
                <a:gsLst>
                  <a:gs pos="0">
                    <a:schemeClr val="accent2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2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2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284D-488E-9769-11E7FE4BDB45}"/>
              </c:ext>
            </c:extLst>
          </c:dPt>
          <c:dPt>
            <c:idx val="2"/>
            <c:bubble3D val="0"/>
            <c:spPr>
              <a:gradFill rotWithShape="1">
                <a:gsLst>
                  <a:gs pos="0">
                    <a:schemeClr val="accent3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3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3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3-284D-488E-9769-11E7FE4BDB45}"/>
              </c:ext>
            </c:extLst>
          </c:dPt>
          <c:dPt>
            <c:idx val="3"/>
            <c:bubble3D val="0"/>
            <c:spPr>
              <a:gradFill rotWithShape="1">
                <a:gsLst>
                  <a:gs pos="0">
                    <a:schemeClr val="accent4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4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4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6-284D-488E-9769-11E7FE4BDB45}"/>
              </c:ext>
            </c:extLst>
          </c:dPt>
          <c:dPt>
            <c:idx val="4"/>
            <c:bubble3D val="0"/>
            <c:spPr>
              <a:gradFill rotWithShape="1">
                <a:gsLst>
                  <a:gs pos="0">
                    <a:schemeClr val="accent5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5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5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5-284D-488E-9769-11E7FE4BDB45}"/>
              </c:ext>
            </c:extLst>
          </c:dPt>
          <c:dPt>
            <c:idx val="5"/>
            <c:bubble3D val="0"/>
            <c:spPr>
              <a:gradFill rotWithShape="1">
                <a:gsLst>
                  <a:gs pos="0">
                    <a:schemeClr val="accent6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6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6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4-284D-488E-9769-11E7FE4BDB45}"/>
              </c:ext>
            </c:extLst>
          </c:dPt>
          <c:dPt>
            <c:idx val="6"/>
            <c:bubble3D val="0"/>
            <c:spPr>
              <a:gradFill rotWithShape="1">
                <a:gsLst>
                  <a:gs pos="0">
                    <a:schemeClr val="accent1">
                      <a:lumMod val="60000"/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1">
                      <a:lumMod val="60000"/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1">
                      <a:lumMod val="60000"/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2-284D-488E-9769-11E7FE4BDB45}"/>
              </c:ext>
            </c:extLst>
          </c:dPt>
          <c:dLbls>
            <c:dLbl>
              <c:idx val="1"/>
              <c:layout>
                <c:manualLayout>
                  <c:x val="-1.0503854170112813E-2"/>
                  <c:y val="-1.5697815809616541E-2"/>
                </c:manualLayout>
              </c:layout>
              <c:tx>
                <c:rich>
                  <a:bodyPr/>
                  <a:lstStyle/>
                  <a:p>
                    <a:fld id="{E5C02575-F9D8-4CE8-ADA0-422E21240B81}" type="CATEGORYNAME">
                      <a:rPr lang="en-US"/>
                      <a:pPr/>
                      <a:t>[CATEGORY NAME]</a:t>
                    </a:fld>
                    <a:r>
                      <a:rPr lang="en-US" baseline="0"/>
                      <a:t>
9%</a:t>
                    </a:r>
                  </a:p>
                </c:rich>
              </c:tx>
              <c:dLblPos val="bestFit"/>
              <c:showLegendKey val="0"/>
              <c:showVal val="1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0"/>
                </c:ext>
                <c:ext xmlns:c16="http://schemas.microsoft.com/office/drawing/2014/chart" uri="{C3380CC4-5D6E-409C-BE32-E72D297353CC}">
                  <c16:uniqueId val="{00000001-284D-488E-9769-11E7FE4BDB45}"/>
                </c:ext>
              </c:extLst>
            </c:dLbl>
            <c:dLbl>
              <c:idx val="2"/>
              <c:layout>
                <c:manualLayout>
                  <c:x val="7.6152942733317894E-2"/>
                  <c:y val="-1.1773361857212297E-2"/>
                </c:manualLayout>
              </c:layout>
              <c:tx>
                <c:rich>
                  <a:bodyPr/>
                  <a:lstStyle/>
                  <a:p>
                    <a:fld id="{B8BBE59A-093B-41AE-9A13-82CB41CB3FA3}" type="CATEGORYNAME">
                      <a:rPr lang="en-US"/>
                      <a:pPr/>
                      <a:t>[CATEGORY NAME]</a:t>
                    </a:fld>
                    <a:r>
                      <a:rPr lang="en-US" baseline="0"/>
                      <a:t>
52%</a:t>
                    </a:r>
                  </a:p>
                </c:rich>
              </c:tx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0"/>
                </c:ext>
                <c:ext xmlns:c16="http://schemas.microsoft.com/office/drawing/2014/chart" uri="{C3380CC4-5D6E-409C-BE32-E72D297353CC}">
                  <c16:uniqueId val="{00000003-284D-488E-9769-11E7FE4BDB45}"/>
                </c:ext>
              </c:extLst>
            </c:dLbl>
            <c:dLbl>
              <c:idx val="3"/>
              <c:layout>
                <c:manualLayout>
                  <c:x val="-4.4641380222979456E-2"/>
                  <c:y val="7.8489079048081976E-3"/>
                </c:manualLayout>
              </c:layout>
              <c:tx>
                <c:rich>
                  <a:bodyPr/>
                  <a:lstStyle/>
                  <a:p>
                    <a:fld id="{CCEA76C8-3DA4-436E-BF04-9D9DDFF009CE}" type="CATEGORYNAME">
                      <a:rPr lang="en-US"/>
                      <a:pPr/>
                      <a:t>[CATEGORY NAME]</a:t>
                    </a:fld>
                    <a:r>
                      <a:rPr lang="en-US" baseline="0"/>
                      <a:t>
6%</a:t>
                    </a:r>
                  </a:p>
                </c:rich>
              </c:tx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0"/>
                </c:ext>
                <c:ext xmlns:c16="http://schemas.microsoft.com/office/drawing/2014/chart" uri="{C3380CC4-5D6E-409C-BE32-E72D297353CC}">
                  <c16:uniqueId val="{00000006-284D-488E-9769-11E7FE4BDB45}"/>
                </c:ext>
              </c:extLst>
            </c:dLbl>
            <c:dLbl>
              <c:idx val="4"/>
              <c:layout>
                <c:manualLayout>
                  <c:x val="0"/>
                  <c:y val="2.3546723714424556E-2"/>
                </c:manualLayout>
              </c:layout>
              <c:tx>
                <c:rich>
                  <a:bodyPr/>
                  <a:lstStyle/>
                  <a:p>
                    <a:fld id="{2AE72AD3-1818-4239-949C-E6AD8B1DF2E6}" type="CATEGORYNAME">
                      <a:rPr lang="en-US"/>
                      <a:pPr/>
                      <a:t>[CATEGORY NAME]</a:t>
                    </a:fld>
                    <a:r>
                      <a:rPr lang="en-US" baseline="0"/>
                      <a:t>
6%</a:t>
                    </a:r>
                  </a:p>
                </c:rich>
              </c:tx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0"/>
                </c:ext>
                <c:ext xmlns:c16="http://schemas.microsoft.com/office/drawing/2014/chart" uri="{C3380CC4-5D6E-409C-BE32-E72D297353CC}">
                  <c16:uniqueId val="{00000005-284D-488E-9769-11E7FE4BDB45}"/>
                </c:ext>
              </c:extLst>
            </c:dLbl>
            <c:dLbl>
              <c:idx val="5"/>
              <c:tx>
                <c:rich>
                  <a:bodyPr/>
                  <a:lstStyle/>
                  <a:p>
                    <a:fld id="{2854F0B7-279E-4DE7-9BF5-F939B1D9FC88}" type="CATEGORYNAME">
                      <a:rPr lang="en-US"/>
                      <a:pPr/>
                      <a:t>[CATEGORY NAME]</a:t>
                    </a:fld>
                    <a:r>
                      <a:rPr lang="en-US" baseline="0"/>
                      <a:t>
27%</a:t>
                    </a:r>
                  </a:p>
                </c:rich>
              </c:tx>
              <c:dLblPos val="outEnd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0"/>
                </c:ext>
                <c:ext xmlns:c16="http://schemas.microsoft.com/office/drawing/2014/chart" uri="{C3380CC4-5D6E-409C-BE32-E72D297353CC}">
                  <c16:uniqueId val="{00000004-284D-488E-9769-11E7FE4BDB45}"/>
                </c:ext>
              </c:extLst>
            </c:dLbl>
            <c:dLbl>
              <c:idx val="6"/>
              <c:layout>
                <c:manualLayout>
                  <c:x val="-5.2519270850564063E-3"/>
                  <c:y val="7.8489079048081972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Area Kajian</a:t>
                    </a:r>
                    <a:r>
                      <a:rPr lang="en-US" baseline="0"/>
                      <a:t>
</a:t>
                    </a:r>
                    <a:fld id="{9EE825E8-3007-427C-9AC6-83390009F5B3}" type="PERCENTAGE">
                      <a:rPr lang="en-US" baseline="0"/>
                      <a:pPr/>
                      <a:t>[PERCENTAGE]</a:t>
                    </a:fld>
                    <a:endParaRPr lang="en-US" baseline="0"/>
                  </a:p>
                </c:rich>
              </c:tx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0"/>
                </c:ext>
                <c:ext xmlns:c16="http://schemas.microsoft.com/office/drawing/2014/chart" uri="{C3380CC4-5D6E-409C-BE32-E72D297353CC}">
                  <c16:uniqueId val="{00000002-284D-488E-9769-11E7FE4BDB45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outEnd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lt1">
                      <a:lumMod val="95000"/>
                      <a:alpha val="54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'Summary Penggunaan Lahan'!$C$113:$C$118</c:f>
              <c:strCache>
                <c:ptCount val="6"/>
                <c:pt idx="0">
                  <c:v>Area Non Kajian</c:v>
                </c:pt>
                <c:pt idx="1">
                  <c:v>Samarinda Kota</c:v>
                </c:pt>
                <c:pt idx="2">
                  <c:v>Samarinda Utara</c:v>
                </c:pt>
                <c:pt idx="3">
                  <c:v>Samarinda Ilir</c:v>
                </c:pt>
                <c:pt idx="4">
                  <c:v>Samarinda Ulu</c:v>
                </c:pt>
                <c:pt idx="5">
                  <c:v>Sungai Pinang</c:v>
                </c:pt>
              </c:strCache>
            </c:strRef>
          </c:cat>
          <c:val>
            <c:numRef>
              <c:f>'Summary Penggunaan Lahan'!$D$113:$D$118</c:f>
              <c:numCache>
                <c:formatCode>General</c:formatCode>
                <c:ptCount val="6"/>
                <c:pt idx="0">
                  <c:v>18524</c:v>
                </c:pt>
                <c:pt idx="1">
                  <c:v>1112</c:v>
                </c:pt>
                <c:pt idx="2">
                  <c:v>6722</c:v>
                </c:pt>
                <c:pt idx="3">
                  <c:v>826</c:v>
                </c:pt>
                <c:pt idx="4">
                  <c:v>810</c:v>
                </c:pt>
                <c:pt idx="5">
                  <c:v>3416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84D-488E-9769-11E7FE4BDB45}"/>
            </c:ext>
          </c:extLst>
        </c:ser>
        <c:dLbls>
          <c:dLblPos val="outEnd"/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gapWidth val="100"/>
        <c:splitType val="cust"/>
        <c:custSplit>
          <c:secondPiePt val="1"/>
          <c:secondPiePt val="2"/>
          <c:secondPiePt val="3"/>
          <c:secondPiePt val="4"/>
          <c:secondPiePt val="5"/>
        </c:custSplit>
        <c:secondPieSize val="75"/>
        <c:serLines>
          <c:spPr>
            <a:ln w="9525" cap="flat" cmpd="sng" algn="ctr">
              <a:solidFill>
                <a:schemeClr val="lt1">
                  <a:lumMod val="95000"/>
                  <a:alpha val="54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Curah</a:t>
            </a:r>
            <a:r>
              <a:rPr lang="en-US" baseline="0"/>
              <a:t> Hujan Rata-rata Bulanan</a:t>
            </a:r>
            <a:endParaRPr lang="en-US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spPr>
            <a:gradFill rotWithShape="1">
              <a:gsLst>
                <a:gs pos="0">
                  <a:schemeClr val="accent2">
                    <a:satMod val="103000"/>
                    <a:lumMod val="102000"/>
                    <a:tint val="94000"/>
                  </a:schemeClr>
                </a:gs>
                <a:gs pos="50000">
                  <a:schemeClr val="accent2">
                    <a:satMod val="110000"/>
                    <a:lumMod val="100000"/>
                    <a:shade val="100000"/>
                  </a:schemeClr>
                </a:gs>
                <a:gs pos="100000">
                  <a:schemeClr val="accent2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cat>
            <c:strRef>
              <c:f>'Data Klimatologi '!$T$6:$T$17</c:f>
              <c:strCache>
                <c:ptCount val="12"/>
                <c:pt idx="0">
                  <c:v>January</c:v>
                </c:pt>
                <c:pt idx="1">
                  <c:v>February</c:v>
                </c:pt>
                <c:pt idx="2">
                  <c:v>March</c:v>
                </c:pt>
                <c:pt idx="3">
                  <c:v>April</c:v>
                </c:pt>
                <c:pt idx="4">
                  <c:v>May</c:v>
                </c:pt>
                <c:pt idx="5">
                  <c:v>June</c:v>
                </c:pt>
                <c:pt idx="6">
                  <c:v>July</c:v>
                </c:pt>
                <c:pt idx="7">
                  <c:v>August</c:v>
                </c:pt>
                <c:pt idx="8">
                  <c:v>September</c:v>
                </c:pt>
                <c:pt idx="9">
                  <c:v>October</c:v>
                </c:pt>
                <c:pt idx="10">
                  <c:v>November</c:v>
                </c:pt>
                <c:pt idx="11">
                  <c:v>December</c:v>
                </c:pt>
              </c:strCache>
            </c:strRef>
          </c:cat>
          <c:val>
            <c:numRef>
              <c:f>'Data Klimatologi '!$AA$6:$AA$17</c:f>
              <c:numCache>
                <c:formatCode>0.0</c:formatCode>
                <c:ptCount val="12"/>
                <c:pt idx="0">
                  <c:v>222.2166666666667</c:v>
                </c:pt>
                <c:pt idx="1">
                  <c:v>127.91666666666667</c:v>
                </c:pt>
                <c:pt idx="2">
                  <c:v>212.48333333333332</c:v>
                </c:pt>
                <c:pt idx="3">
                  <c:v>247.66666666666666</c:v>
                </c:pt>
                <c:pt idx="4">
                  <c:v>237.83333333333329</c:v>
                </c:pt>
                <c:pt idx="5">
                  <c:v>257.3</c:v>
                </c:pt>
                <c:pt idx="6">
                  <c:v>120.81666666666666</c:v>
                </c:pt>
                <c:pt idx="7">
                  <c:v>99.716666666666654</c:v>
                </c:pt>
                <c:pt idx="8">
                  <c:v>97.433333333333337</c:v>
                </c:pt>
                <c:pt idx="9">
                  <c:v>144.41666666666666</c:v>
                </c:pt>
                <c:pt idx="10">
                  <c:v>186.75</c:v>
                </c:pt>
                <c:pt idx="11">
                  <c:v>298.46666666666664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E2D-4F9B-BAC6-9096EC28735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589149056"/>
        <c:axId val="589145776"/>
        <c:axId val="0"/>
      </c:bar3DChart>
      <c:catAx>
        <c:axId val="5891490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9145776"/>
        <c:crosses val="autoZero"/>
        <c:auto val="1"/>
        <c:lblAlgn val="ctr"/>
        <c:lblOffset val="100"/>
        <c:noMultiLvlLbl val="0"/>
      </c:catAx>
      <c:valAx>
        <c:axId val="5891457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914905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Jumlah</a:t>
            </a:r>
            <a:r>
              <a:rPr lang="en-US" baseline="0"/>
              <a:t> Hari Hujan Rata-rata Bulanan</a:t>
            </a:r>
            <a:endParaRPr lang="en-US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noFill/>
            </a:ln>
            <a:effectLst/>
            <a:sp3d/>
          </c:spPr>
          <c:invertIfNegative val="0"/>
          <c:cat>
            <c:strRef>
              <c:f>'Data Klimatologi '!$T$21:$T$32</c:f>
              <c:strCache>
                <c:ptCount val="12"/>
                <c:pt idx="0">
                  <c:v>January</c:v>
                </c:pt>
                <c:pt idx="1">
                  <c:v>February</c:v>
                </c:pt>
                <c:pt idx="2">
                  <c:v>March</c:v>
                </c:pt>
                <c:pt idx="3">
                  <c:v>April</c:v>
                </c:pt>
                <c:pt idx="4">
                  <c:v>May</c:v>
                </c:pt>
                <c:pt idx="5">
                  <c:v>June</c:v>
                </c:pt>
                <c:pt idx="6">
                  <c:v>July</c:v>
                </c:pt>
                <c:pt idx="7">
                  <c:v>August</c:v>
                </c:pt>
                <c:pt idx="8">
                  <c:v>September</c:v>
                </c:pt>
                <c:pt idx="9">
                  <c:v>October</c:v>
                </c:pt>
                <c:pt idx="10">
                  <c:v>November</c:v>
                </c:pt>
                <c:pt idx="11">
                  <c:v>December</c:v>
                </c:pt>
              </c:strCache>
            </c:strRef>
          </c:cat>
          <c:val>
            <c:numRef>
              <c:f>'Data Klimatologi '!$AA$21:$AA$32</c:f>
              <c:numCache>
                <c:formatCode>0</c:formatCode>
                <c:ptCount val="12"/>
                <c:pt idx="0">
                  <c:v>19.333333333333332</c:v>
                </c:pt>
                <c:pt idx="1">
                  <c:v>14.5</c:v>
                </c:pt>
                <c:pt idx="2">
                  <c:v>16.833333333333332</c:v>
                </c:pt>
                <c:pt idx="3">
                  <c:v>20</c:v>
                </c:pt>
                <c:pt idx="4">
                  <c:v>21.833333333333332</c:v>
                </c:pt>
                <c:pt idx="5">
                  <c:v>20.166666666666668</c:v>
                </c:pt>
                <c:pt idx="6">
                  <c:v>15</c:v>
                </c:pt>
                <c:pt idx="7">
                  <c:v>15.166666666666666</c:v>
                </c:pt>
                <c:pt idx="8">
                  <c:v>11.333333333333334</c:v>
                </c:pt>
                <c:pt idx="9">
                  <c:v>17.333333333333332</c:v>
                </c:pt>
                <c:pt idx="10">
                  <c:v>19.333333333333332</c:v>
                </c:pt>
                <c:pt idx="11">
                  <c:v>20.333333333333332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5F0-4C71-99E6-660192369F2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700334704"/>
        <c:axId val="700332408"/>
        <c:axId val="0"/>
      </c:bar3DChart>
      <c:catAx>
        <c:axId val="7003347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00332408"/>
        <c:crosses val="autoZero"/>
        <c:auto val="1"/>
        <c:lblAlgn val="ctr"/>
        <c:lblOffset val="100"/>
        <c:noMultiLvlLbl val="0"/>
      </c:catAx>
      <c:valAx>
        <c:axId val="70033240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0033470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'Data Klimatologi '!$V$40</c:f>
              <c:strCache>
                <c:ptCount val="1"/>
                <c:pt idx="0">
                  <c:v>Curah Hujan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'Data Klimatologi '!$U$41:$U$52</c:f>
              <c:strCache>
                <c:ptCount val="12"/>
                <c:pt idx="0">
                  <c:v>January</c:v>
                </c:pt>
                <c:pt idx="1">
                  <c:v>February</c:v>
                </c:pt>
                <c:pt idx="2">
                  <c:v>March</c:v>
                </c:pt>
                <c:pt idx="3">
                  <c:v>April</c:v>
                </c:pt>
                <c:pt idx="4">
                  <c:v>May</c:v>
                </c:pt>
                <c:pt idx="5">
                  <c:v>June</c:v>
                </c:pt>
                <c:pt idx="6">
                  <c:v>July</c:v>
                </c:pt>
                <c:pt idx="7">
                  <c:v>August</c:v>
                </c:pt>
                <c:pt idx="8">
                  <c:v>September</c:v>
                </c:pt>
                <c:pt idx="9">
                  <c:v>October</c:v>
                </c:pt>
                <c:pt idx="10">
                  <c:v>November</c:v>
                </c:pt>
                <c:pt idx="11">
                  <c:v>December</c:v>
                </c:pt>
              </c:strCache>
            </c:strRef>
          </c:cat>
          <c:val>
            <c:numRef>
              <c:f>'Data Klimatologi '!$V$41:$V$52</c:f>
              <c:numCache>
                <c:formatCode>0.0</c:formatCode>
                <c:ptCount val="12"/>
                <c:pt idx="0">
                  <c:v>222.2166666666667</c:v>
                </c:pt>
                <c:pt idx="1">
                  <c:v>127.91666666666667</c:v>
                </c:pt>
                <c:pt idx="2">
                  <c:v>212.48333333333332</c:v>
                </c:pt>
                <c:pt idx="3">
                  <c:v>247.66666666666666</c:v>
                </c:pt>
                <c:pt idx="4">
                  <c:v>237.83333333333329</c:v>
                </c:pt>
                <c:pt idx="5">
                  <c:v>257.3</c:v>
                </c:pt>
                <c:pt idx="6">
                  <c:v>120.81666666666666</c:v>
                </c:pt>
                <c:pt idx="7">
                  <c:v>99.716666666666654</c:v>
                </c:pt>
                <c:pt idx="8">
                  <c:v>97.433333333333337</c:v>
                </c:pt>
                <c:pt idx="9">
                  <c:v>144.41666666666666</c:v>
                </c:pt>
                <c:pt idx="10">
                  <c:v>186.75</c:v>
                </c:pt>
                <c:pt idx="11">
                  <c:v>298.46666666666664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B24-4E7C-A084-E6E7703F159B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247"/>
        <c:axId val="630830856"/>
        <c:axId val="630838728"/>
      </c:barChart>
      <c:lineChart>
        <c:grouping val="standard"/>
        <c:varyColors val="0"/>
        <c:ser>
          <c:idx val="1"/>
          <c:order val="1"/>
          <c:tx>
            <c:strRef>
              <c:f>'Data Klimatologi '!$W$40</c:f>
              <c:strCache>
                <c:ptCount val="1"/>
                <c:pt idx="0">
                  <c:v>Jumlah Hari Hujan</c:v>
                </c:pt>
              </c:strCache>
            </c:strRef>
          </c:tx>
          <c:spPr>
            <a:ln w="34925" cap="rnd">
              <a:solidFill>
                <a:schemeClr val="accent2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'Data Klimatologi '!$U$41:$U$52</c:f>
              <c:strCache>
                <c:ptCount val="12"/>
                <c:pt idx="0">
                  <c:v>January</c:v>
                </c:pt>
                <c:pt idx="1">
                  <c:v>February</c:v>
                </c:pt>
                <c:pt idx="2">
                  <c:v>March</c:v>
                </c:pt>
                <c:pt idx="3">
                  <c:v>April</c:v>
                </c:pt>
                <c:pt idx="4">
                  <c:v>May</c:v>
                </c:pt>
                <c:pt idx="5">
                  <c:v>June</c:v>
                </c:pt>
                <c:pt idx="6">
                  <c:v>July</c:v>
                </c:pt>
                <c:pt idx="7">
                  <c:v>August</c:v>
                </c:pt>
                <c:pt idx="8">
                  <c:v>September</c:v>
                </c:pt>
                <c:pt idx="9">
                  <c:v>October</c:v>
                </c:pt>
                <c:pt idx="10">
                  <c:v>November</c:v>
                </c:pt>
                <c:pt idx="11">
                  <c:v>December</c:v>
                </c:pt>
              </c:strCache>
            </c:strRef>
          </c:cat>
          <c:val>
            <c:numRef>
              <c:f>'Data Klimatologi '!$W$41:$W$52</c:f>
              <c:numCache>
                <c:formatCode>0</c:formatCode>
                <c:ptCount val="12"/>
                <c:pt idx="0">
                  <c:v>19.333333333333332</c:v>
                </c:pt>
                <c:pt idx="1">
                  <c:v>14.5</c:v>
                </c:pt>
                <c:pt idx="2">
                  <c:v>16.833333333333332</c:v>
                </c:pt>
                <c:pt idx="3">
                  <c:v>20</c:v>
                </c:pt>
                <c:pt idx="4">
                  <c:v>21.833333333333332</c:v>
                </c:pt>
                <c:pt idx="5">
                  <c:v>20.166666666666668</c:v>
                </c:pt>
                <c:pt idx="6">
                  <c:v>15</c:v>
                </c:pt>
                <c:pt idx="7">
                  <c:v>15.166666666666666</c:v>
                </c:pt>
                <c:pt idx="8">
                  <c:v>11.333333333333334</c:v>
                </c:pt>
                <c:pt idx="9">
                  <c:v>17.333333333333332</c:v>
                </c:pt>
                <c:pt idx="10">
                  <c:v>19.333333333333332</c:v>
                </c:pt>
                <c:pt idx="11">
                  <c:v>20.333333333333332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3B24-4E7C-A084-E6E7703F159B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630816096"/>
        <c:axId val="630817736"/>
      </c:lineChart>
      <c:catAx>
        <c:axId val="6308308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lt1">
                <a:lumMod val="95000"/>
                <a:alpha val="54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30838728"/>
        <c:crosses val="autoZero"/>
        <c:auto val="1"/>
        <c:lblAlgn val="ctr"/>
        <c:lblOffset val="100"/>
        <c:noMultiLvlLbl val="0"/>
      </c:catAx>
      <c:valAx>
        <c:axId val="6308387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lt1">
                  <a:lumMod val="95000"/>
                  <a:alpha val="10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1" i="0" u="none" strike="noStrike" kern="1200" cap="all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mm / bulan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1" i="0" u="none" strike="noStrike" kern="1200" cap="all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30830856"/>
        <c:crosses val="autoZero"/>
        <c:crossBetween val="between"/>
      </c:valAx>
      <c:valAx>
        <c:axId val="630817736"/>
        <c:scaling>
          <c:orientation val="minMax"/>
        </c:scaling>
        <c:delete val="0"/>
        <c:axPos val="r"/>
        <c:title>
          <c:tx>
            <c:rich>
              <a:bodyPr rot="5400000" spcFirstLastPara="1" vertOverflow="ellipsis" wrap="square" anchor="ctr" anchorCtr="1"/>
              <a:lstStyle/>
              <a:p>
                <a:pPr>
                  <a:defRPr sz="900" b="1" i="0" u="none" strike="noStrike" kern="1200" cap="all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Hari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5400000" spcFirstLastPara="1" vertOverflow="ellipsis" wrap="square" anchor="ctr" anchorCtr="1"/>
            <a:lstStyle/>
            <a:p>
              <a:pPr>
                <a:defRPr sz="900" b="1" i="0" u="none" strike="noStrike" kern="1200" cap="all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30816096"/>
        <c:crosses val="max"/>
        <c:crossBetween val="between"/>
      </c:valAx>
      <c:catAx>
        <c:axId val="63081609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630817736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'Data Klimatologi '!$AM$66</c:f>
              <c:strCache>
                <c:ptCount val="1"/>
                <c:pt idx="0">
                  <c:v>Humidity (%)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'Data Klimatologi '!$AL$67:$AL$78</c:f>
              <c:strCache>
                <c:ptCount val="12"/>
                <c:pt idx="0">
                  <c:v>January</c:v>
                </c:pt>
                <c:pt idx="1">
                  <c:v>February</c:v>
                </c:pt>
                <c:pt idx="2">
                  <c:v>March</c:v>
                </c:pt>
                <c:pt idx="3">
                  <c:v>April</c:v>
                </c:pt>
                <c:pt idx="4">
                  <c:v>May</c:v>
                </c:pt>
                <c:pt idx="5">
                  <c:v>June</c:v>
                </c:pt>
                <c:pt idx="6">
                  <c:v>July</c:v>
                </c:pt>
                <c:pt idx="7">
                  <c:v>August</c:v>
                </c:pt>
                <c:pt idx="8">
                  <c:v>September</c:v>
                </c:pt>
                <c:pt idx="9">
                  <c:v>October</c:v>
                </c:pt>
                <c:pt idx="10">
                  <c:v>November</c:v>
                </c:pt>
                <c:pt idx="11">
                  <c:v>December</c:v>
                </c:pt>
              </c:strCache>
            </c:strRef>
          </c:cat>
          <c:val>
            <c:numRef>
              <c:f>'Data Klimatologi '!$AM$67:$AM$78</c:f>
              <c:numCache>
                <c:formatCode>0</c:formatCode>
                <c:ptCount val="12"/>
                <c:pt idx="0">
                  <c:v>80.666666666666671</c:v>
                </c:pt>
                <c:pt idx="1">
                  <c:v>79.166666666666671</c:v>
                </c:pt>
                <c:pt idx="2">
                  <c:v>79.833333333333329</c:v>
                </c:pt>
                <c:pt idx="3">
                  <c:v>80.833333333333329</c:v>
                </c:pt>
                <c:pt idx="4">
                  <c:v>83.666666666666671</c:v>
                </c:pt>
                <c:pt idx="5">
                  <c:v>83.333333333333329</c:v>
                </c:pt>
                <c:pt idx="6">
                  <c:v>78</c:v>
                </c:pt>
                <c:pt idx="7">
                  <c:v>76.5</c:v>
                </c:pt>
                <c:pt idx="8">
                  <c:v>75.166666666666671</c:v>
                </c:pt>
                <c:pt idx="9">
                  <c:v>75.333333333333329</c:v>
                </c:pt>
                <c:pt idx="10">
                  <c:v>82.5</c:v>
                </c:pt>
                <c:pt idx="11">
                  <c:v>74.833333333333329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414-40D3-A91A-0C31C1F235DE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639538880"/>
        <c:axId val="639543472"/>
      </c:barChart>
      <c:lineChart>
        <c:grouping val="standard"/>
        <c:varyColors val="0"/>
        <c:ser>
          <c:idx val="1"/>
          <c:order val="1"/>
          <c:tx>
            <c:strRef>
              <c:f>'Data Klimatologi '!$AN$66</c:f>
              <c:strCache>
                <c:ptCount val="1"/>
                <c:pt idx="0">
                  <c:v>T-Max (oC)</c:v>
                </c:pt>
              </c:strCache>
            </c:strRef>
          </c:tx>
          <c:spPr>
            <a:ln w="34925" cap="rnd">
              <a:solidFill>
                <a:schemeClr val="accent2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'Data Klimatologi '!$AL$67:$AL$78</c:f>
              <c:strCache>
                <c:ptCount val="12"/>
                <c:pt idx="0">
                  <c:v>January</c:v>
                </c:pt>
                <c:pt idx="1">
                  <c:v>February</c:v>
                </c:pt>
                <c:pt idx="2">
                  <c:v>March</c:v>
                </c:pt>
                <c:pt idx="3">
                  <c:v>April</c:v>
                </c:pt>
                <c:pt idx="4">
                  <c:v>May</c:v>
                </c:pt>
                <c:pt idx="5">
                  <c:v>June</c:v>
                </c:pt>
                <c:pt idx="6">
                  <c:v>July</c:v>
                </c:pt>
                <c:pt idx="7">
                  <c:v>August</c:v>
                </c:pt>
                <c:pt idx="8">
                  <c:v>September</c:v>
                </c:pt>
                <c:pt idx="9">
                  <c:v>October</c:v>
                </c:pt>
                <c:pt idx="10">
                  <c:v>November</c:v>
                </c:pt>
                <c:pt idx="11">
                  <c:v>December</c:v>
                </c:pt>
              </c:strCache>
            </c:strRef>
          </c:cat>
          <c:val>
            <c:numRef>
              <c:f>'Data Klimatologi '!$AN$67:$AN$78</c:f>
              <c:numCache>
                <c:formatCode>0.0</c:formatCode>
                <c:ptCount val="12"/>
                <c:pt idx="0">
                  <c:v>32.383333333333333</c:v>
                </c:pt>
                <c:pt idx="1">
                  <c:v>33.033333333333331</c:v>
                </c:pt>
                <c:pt idx="2">
                  <c:v>33.166666666666664</c:v>
                </c:pt>
                <c:pt idx="3">
                  <c:v>33.116666666666667</c:v>
                </c:pt>
                <c:pt idx="4">
                  <c:v>33.283333333333331</c:v>
                </c:pt>
                <c:pt idx="5">
                  <c:v>32.550000000000004</c:v>
                </c:pt>
                <c:pt idx="6">
                  <c:v>32.716666666666669</c:v>
                </c:pt>
                <c:pt idx="7">
                  <c:v>33.083333333333336</c:v>
                </c:pt>
                <c:pt idx="8">
                  <c:v>33.483333333333327</c:v>
                </c:pt>
                <c:pt idx="9">
                  <c:v>33.716666666666661</c:v>
                </c:pt>
                <c:pt idx="10">
                  <c:v>33.016666666666673</c:v>
                </c:pt>
                <c:pt idx="11">
                  <c:v>33.133333333333333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5414-40D3-A91A-0C31C1F235DE}"/>
            </c:ext>
          </c:extLst>
        </c:ser>
        <c:ser>
          <c:idx val="2"/>
          <c:order val="2"/>
          <c:tx>
            <c:strRef>
              <c:f>'Data Klimatologi '!$AO$66</c:f>
              <c:strCache>
                <c:ptCount val="1"/>
                <c:pt idx="0">
                  <c:v>T-Min (oC)</c:v>
                </c:pt>
              </c:strCache>
            </c:strRef>
          </c:tx>
          <c:spPr>
            <a:ln w="34925" cap="rnd">
              <a:solidFill>
                <a:schemeClr val="accent3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'Data Klimatologi '!$AL$67:$AL$78</c:f>
              <c:strCache>
                <c:ptCount val="12"/>
                <c:pt idx="0">
                  <c:v>January</c:v>
                </c:pt>
                <c:pt idx="1">
                  <c:v>February</c:v>
                </c:pt>
                <c:pt idx="2">
                  <c:v>March</c:v>
                </c:pt>
                <c:pt idx="3">
                  <c:v>April</c:v>
                </c:pt>
                <c:pt idx="4">
                  <c:v>May</c:v>
                </c:pt>
                <c:pt idx="5">
                  <c:v>June</c:v>
                </c:pt>
                <c:pt idx="6">
                  <c:v>July</c:v>
                </c:pt>
                <c:pt idx="7">
                  <c:v>August</c:v>
                </c:pt>
                <c:pt idx="8">
                  <c:v>September</c:v>
                </c:pt>
                <c:pt idx="9">
                  <c:v>October</c:v>
                </c:pt>
                <c:pt idx="10">
                  <c:v>November</c:v>
                </c:pt>
                <c:pt idx="11">
                  <c:v>December</c:v>
                </c:pt>
              </c:strCache>
            </c:strRef>
          </c:cat>
          <c:val>
            <c:numRef>
              <c:f>'Data Klimatologi '!$AO$67:$AO$78</c:f>
              <c:numCache>
                <c:formatCode>0.0</c:formatCode>
                <c:ptCount val="12"/>
                <c:pt idx="0">
                  <c:v>24.299999999999997</c:v>
                </c:pt>
                <c:pt idx="1">
                  <c:v>24.5</c:v>
                </c:pt>
                <c:pt idx="2">
                  <c:v>24.75</c:v>
                </c:pt>
                <c:pt idx="3">
                  <c:v>24.883333333333329</c:v>
                </c:pt>
                <c:pt idx="4">
                  <c:v>24.700000000000003</c:v>
                </c:pt>
                <c:pt idx="5">
                  <c:v>24.150000000000002</c:v>
                </c:pt>
                <c:pt idx="6">
                  <c:v>23.75</c:v>
                </c:pt>
                <c:pt idx="7">
                  <c:v>24.233333333333334</c:v>
                </c:pt>
                <c:pt idx="8">
                  <c:v>24.233333333333334</c:v>
                </c:pt>
                <c:pt idx="9">
                  <c:v>24.566666666666666</c:v>
                </c:pt>
                <c:pt idx="10">
                  <c:v>24.633333333333329</c:v>
                </c:pt>
                <c:pt idx="11">
                  <c:v>24.266666666666666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5414-40D3-A91A-0C31C1F235DE}"/>
            </c:ext>
          </c:extLst>
        </c:ser>
        <c:ser>
          <c:idx val="3"/>
          <c:order val="3"/>
          <c:tx>
            <c:strRef>
              <c:f>'Data Klimatologi '!$AP$66</c:f>
              <c:strCache>
                <c:ptCount val="1"/>
                <c:pt idx="0">
                  <c:v>T-Avg (oC)</c:v>
                </c:pt>
              </c:strCache>
            </c:strRef>
          </c:tx>
          <c:spPr>
            <a:ln w="34925" cap="rnd">
              <a:solidFill>
                <a:schemeClr val="accent4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'Data Klimatologi '!$AL$67:$AL$78</c:f>
              <c:strCache>
                <c:ptCount val="12"/>
                <c:pt idx="0">
                  <c:v>January</c:v>
                </c:pt>
                <c:pt idx="1">
                  <c:v>February</c:v>
                </c:pt>
                <c:pt idx="2">
                  <c:v>March</c:v>
                </c:pt>
                <c:pt idx="3">
                  <c:v>April</c:v>
                </c:pt>
                <c:pt idx="4">
                  <c:v>May</c:v>
                </c:pt>
                <c:pt idx="5">
                  <c:v>June</c:v>
                </c:pt>
                <c:pt idx="6">
                  <c:v>July</c:v>
                </c:pt>
                <c:pt idx="7">
                  <c:v>August</c:v>
                </c:pt>
                <c:pt idx="8">
                  <c:v>September</c:v>
                </c:pt>
                <c:pt idx="9">
                  <c:v>October</c:v>
                </c:pt>
                <c:pt idx="10">
                  <c:v>November</c:v>
                </c:pt>
                <c:pt idx="11">
                  <c:v>December</c:v>
                </c:pt>
              </c:strCache>
            </c:strRef>
          </c:cat>
          <c:val>
            <c:numRef>
              <c:f>'Data Klimatologi '!$AP$67:$AP$78</c:f>
              <c:numCache>
                <c:formatCode>0.0</c:formatCode>
                <c:ptCount val="12"/>
                <c:pt idx="0">
                  <c:v>27.566666666666663</c:v>
                </c:pt>
                <c:pt idx="1">
                  <c:v>27.933333333333334</c:v>
                </c:pt>
                <c:pt idx="2">
                  <c:v>27.983333333333334</c:v>
                </c:pt>
                <c:pt idx="3">
                  <c:v>28.133333333333336</c:v>
                </c:pt>
                <c:pt idx="4">
                  <c:v>28.000000000000004</c:v>
                </c:pt>
                <c:pt idx="5">
                  <c:v>27.566666666666663</c:v>
                </c:pt>
                <c:pt idx="6">
                  <c:v>27.733333333333331</c:v>
                </c:pt>
                <c:pt idx="7">
                  <c:v>27.683333333333334</c:v>
                </c:pt>
                <c:pt idx="8">
                  <c:v>28.033333333333331</c:v>
                </c:pt>
                <c:pt idx="9">
                  <c:v>28.183333333333334</c:v>
                </c:pt>
                <c:pt idx="10">
                  <c:v>27.983333333333334</c:v>
                </c:pt>
                <c:pt idx="11">
                  <c:v>27.933333333333334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5414-40D3-A91A-0C31C1F235DE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590315912"/>
        <c:axId val="590318208"/>
      </c:lineChart>
      <c:catAx>
        <c:axId val="6395388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lt1">
                <a:lumMod val="95000"/>
                <a:alpha val="54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39543472"/>
        <c:crosses val="autoZero"/>
        <c:auto val="1"/>
        <c:lblAlgn val="ctr"/>
        <c:lblOffset val="100"/>
        <c:noMultiLvlLbl val="0"/>
      </c:catAx>
      <c:valAx>
        <c:axId val="639543472"/>
        <c:scaling>
          <c:orientation val="minMax"/>
          <c:max val="90"/>
          <c:min val="10"/>
        </c:scaling>
        <c:delete val="0"/>
        <c:axPos val="l"/>
        <c:majorGridlines>
          <c:spPr>
            <a:ln w="9525" cap="flat" cmpd="sng" algn="ctr">
              <a:solidFill>
                <a:schemeClr val="lt1">
                  <a:lumMod val="95000"/>
                  <a:alpha val="10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1" i="0" u="none" strike="noStrike" kern="1200" cap="all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Humidity</a:t>
                </a:r>
                <a:r>
                  <a:rPr lang="en-US" baseline="0"/>
                  <a:t> (%)</a:t>
                </a:r>
                <a:endParaRPr lang="en-US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1" i="0" u="none" strike="noStrike" kern="1200" cap="all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39538880"/>
        <c:crosses val="autoZero"/>
        <c:crossBetween val="between"/>
      </c:valAx>
      <c:valAx>
        <c:axId val="590318208"/>
        <c:scaling>
          <c:orientation val="minMax"/>
          <c:max val="90"/>
          <c:min val="10"/>
        </c:scaling>
        <c:delete val="0"/>
        <c:axPos val="r"/>
        <c:title>
          <c:tx>
            <c:rich>
              <a:bodyPr rot="5400000" spcFirstLastPara="1" vertOverflow="ellipsis" wrap="square" anchor="ctr" anchorCtr="1"/>
              <a:lstStyle/>
              <a:p>
                <a:pPr>
                  <a:defRPr sz="900" b="1" i="0" u="none" strike="noStrike" kern="1200" cap="all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Temp</a:t>
                </a:r>
                <a:r>
                  <a:rPr lang="en-US" baseline="0"/>
                  <a:t> (</a:t>
                </a:r>
                <a:r>
                  <a:rPr lang="en-US" baseline="30000"/>
                  <a:t>o</a:t>
                </a:r>
                <a:r>
                  <a:rPr lang="en-US" baseline="0"/>
                  <a:t>C)</a:t>
                </a:r>
                <a:endParaRPr lang="en-US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5400000" spcFirstLastPara="1" vertOverflow="ellipsis" wrap="square" anchor="ctr" anchorCtr="1"/>
            <a:lstStyle/>
            <a:p>
              <a:pPr>
                <a:defRPr sz="900" b="1" i="0" u="none" strike="noStrike" kern="1200" cap="all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90315912"/>
        <c:crosses val="max"/>
        <c:crossBetween val="between"/>
        <c:majorUnit val="10"/>
        <c:minorUnit val="2"/>
      </c:valAx>
      <c:catAx>
        <c:axId val="590315912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590318208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'Data Klimatologi '!$AV$36</c:f>
              <c:strCache>
                <c:ptCount val="1"/>
                <c:pt idx="0">
                  <c:v>Tekanan Atmosfer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'Data Klimatologi '!$AU$37:$AU$48</c:f>
              <c:strCache>
                <c:ptCount val="12"/>
                <c:pt idx="0">
                  <c:v>January</c:v>
                </c:pt>
                <c:pt idx="1">
                  <c:v>February</c:v>
                </c:pt>
                <c:pt idx="2">
                  <c:v>March</c:v>
                </c:pt>
                <c:pt idx="3">
                  <c:v>April</c:v>
                </c:pt>
                <c:pt idx="4">
                  <c:v>May</c:v>
                </c:pt>
                <c:pt idx="5">
                  <c:v>June</c:v>
                </c:pt>
                <c:pt idx="6">
                  <c:v>July</c:v>
                </c:pt>
                <c:pt idx="7">
                  <c:v>August</c:v>
                </c:pt>
                <c:pt idx="8">
                  <c:v>September</c:v>
                </c:pt>
                <c:pt idx="9">
                  <c:v>October</c:v>
                </c:pt>
                <c:pt idx="10">
                  <c:v>November</c:v>
                </c:pt>
                <c:pt idx="11">
                  <c:v>December</c:v>
                </c:pt>
              </c:strCache>
            </c:strRef>
          </c:cat>
          <c:val>
            <c:numRef>
              <c:f>'Data Klimatologi '!$AV$37:$AV$48</c:f>
              <c:numCache>
                <c:formatCode>General</c:formatCode>
                <c:ptCount val="12"/>
                <c:pt idx="0">
                  <c:v>1012.5</c:v>
                </c:pt>
                <c:pt idx="1">
                  <c:v>1012.8799999999999</c:v>
                </c:pt>
                <c:pt idx="2">
                  <c:v>1013</c:v>
                </c:pt>
                <c:pt idx="3">
                  <c:v>1012.3399999999999</c:v>
                </c:pt>
                <c:pt idx="4">
                  <c:v>1012.1600000000001</c:v>
                </c:pt>
                <c:pt idx="5">
                  <c:v>1012.54</c:v>
                </c:pt>
                <c:pt idx="6">
                  <c:v>1012.46</c:v>
                </c:pt>
                <c:pt idx="7">
                  <c:v>1012.54</c:v>
                </c:pt>
                <c:pt idx="8">
                  <c:v>1013.1200000000001</c:v>
                </c:pt>
                <c:pt idx="9">
                  <c:v>1012.6</c:v>
                </c:pt>
                <c:pt idx="10">
                  <c:v>1011</c:v>
                </c:pt>
                <c:pt idx="11">
                  <c:v>1011.74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92A-4830-A31C-F4FF1DA1D5C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868306872"/>
        <c:axId val="868306544"/>
      </c:barChart>
      <c:lineChart>
        <c:grouping val="standard"/>
        <c:varyColors val="0"/>
        <c:ser>
          <c:idx val="1"/>
          <c:order val="1"/>
          <c:tx>
            <c:strRef>
              <c:f>'Data Klimatologi '!$AW$36</c:f>
              <c:strCache>
                <c:ptCount val="1"/>
                <c:pt idx="0">
                  <c:v>Kecepatan Angin</c:v>
                </c:pt>
              </c:strCache>
            </c:strRef>
          </c:tx>
          <c:spPr>
            <a:ln w="34925" cap="rnd">
              <a:solidFill>
                <a:schemeClr val="accent2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'Data Klimatologi '!$AU$37:$AU$48</c:f>
              <c:strCache>
                <c:ptCount val="12"/>
                <c:pt idx="0">
                  <c:v>January</c:v>
                </c:pt>
                <c:pt idx="1">
                  <c:v>February</c:v>
                </c:pt>
                <c:pt idx="2">
                  <c:v>March</c:v>
                </c:pt>
                <c:pt idx="3">
                  <c:v>April</c:v>
                </c:pt>
                <c:pt idx="4">
                  <c:v>May</c:v>
                </c:pt>
                <c:pt idx="5">
                  <c:v>June</c:v>
                </c:pt>
                <c:pt idx="6">
                  <c:v>July</c:v>
                </c:pt>
                <c:pt idx="7">
                  <c:v>August</c:v>
                </c:pt>
                <c:pt idx="8">
                  <c:v>September</c:v>
                </c:pt>
                <c:pt idx="9">
                  <c:v>October</c:v>
                </c:pt>
                <c:pt idx="10">
                  <c:v>November</c:v>
                </c:pt>
                <c:pt idx="11">
                  <c:v>December</c:v>
                </c:pt>
              </c:strCache>
            </c:strRef>
          </c:cat>
          <c:val>
            <c:numRef>
              <c:f>'Data Klimatologi '!$AW$37:$AW$48</c:f>
              <c:numCache>
                <c:formatCode>0.0</c:formatCode>
                <c:ptCount val="12"/>
                <c:pt idx="0">
                  <c:v>1.9532</c:v>
                </c:pt>
                <c:pt idx="1">
                  <c:v>2.056</c:v>
                </c:pt>
                <c:pt idx="2">
                  <c:v>2.056</c:v>
                </c:pt>
                <c:pt idx="3">
                  <c:v>2.1588000000000003</c:v>
                </c:pt>
                <c:pt idx="4">
                  <c:v>1.7475999999999998</c:v>
                </c:pt>
                <c:pt idx="5">
                  <c:v>1.8503999999999998</c:v>
                </c:pt>
                <c:pt idx="6">
                  <c:v>2.056</c:v>
                </c:pt>
                <c:pt idx="7">
                  <c:v>2.2616000000000001</c:v>
                </c:pt>
                <c:pt idx="8">
                  <c:v>2.1588000000000003</c:v>
                </c:pt>
                <c:pt idx="9">
                  <c:v>1.9634800000000001</c:v>
                </c:pt>
                <c:pt idx="10">
                  <c:v>1.8298400000000001</c:v>
                </c:pt>
                <c:pt idx="11">
                  <c:v>2.0148799999999998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A92A-4830-A31C-F4FF1DA1D5C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905785456"/>
        <c:axId val="905783160"/>
      </c:lineChart>
      <c:catAx>
        <c:axId val="9057854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lt1">
                <a:lumMod val="95000"/>
                <a:alpha val="54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05783160"/>
        <c:crosses val="autoZero"/>
        <c:auto val="1"/>
        <c:lblAlgn val="ctr"/>
        <c:lblOffset val="100"/>
        <c:noMultiLvlLbl val="0"/>
      </c:catAx>
      <c:valAx>
        <c:axId val="905783160"/>
        <c:scaling>
          <c:orientation val="minMax"/>
          <c:max val="5"/>
        </c:scaling>
        <c:delete val="0"/>
        <c:axPos val="l"/>
        <c:majorGridlines>
          <c:spPr>
            <a:ln w="9525" cap="flat" cmpd="sng" algn="ctr">
              <a:solidFill>
                <a:schemeClr val="lt1">
                  <a:lumMod val="95000"/>
                  <a:alpha val="10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1" i="0" u="none" strike="noStrike" kern="1200" cap="all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Kecepatan</a:t>
                </a:r>
                <a:r>
                  <a:rPr lang="en-US" baseline="0"/>
                  <a:t> angin (m/s)</a:t>
                </a:r>
                <a:endParaRPr lang="en-US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1" i="0" u="none" strike="noStrike" kern="1200" cap="all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05785456"/>
        <c:crosses val="autoZero"/>
        <c:crossBetween val="between"/>
      </c:valAx>
      <c:valAx>
        <c:axId val="868306544"/>
        <c:scaling>
          <c:orientation val="minMax"/>
          <c:max val="1014"/>
          <c:min val="1009"/>
        </c:scaling>
        <c:delete val="0"/>
        <c:axPos val="r"/>
        <c:title>
          <c:tx>
            <c:rich>
              <a:bodyPr rot="5400000" spcFirstLastPara="1" vertOverflow="ellipsis" wrap="square" anchor="ctr" anchorCtr="1"/>
              <a:lstStyle/>
              <a:p>
                <a:pPr>
                  <a:defRPr sz="900" b="1" i="0" u="none" strike="noStrike" kern="1200" cap="all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Tekanan</a:t>
                </a:r>
                <a:r>
                  <a:rPr lang="en-US" baseline="0"/>
                  <a:t> atmosfer (mb)</a:t>
                </a:r>
                <a:endParaRPr lang="en-US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5400000" spcFirstLastPara="1" vertOverflow="ellipsis" wrap="square" anchor="ctr" anchorCtr="1"/>
            <a:lstStyle/>
            <a:p>
              <a:pPr>
                <a:defRPr sz="900" b="1" i="0" u="none" strike="noStrike" kern="1200" cap="all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68306872"/>
        <c:crosses val="max"/>
        <c:crossBetween val="between"/>
        <c:majorUnit val="1"/>
      </c:valAx>
      <c:catAx>
        <c:axId val="86830687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868306544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'Data Klimatologi '!$BJ$35</c:f>
              <c:strCache>
                <c:ptCount val="1"/>
                <c:pt idx="0">
                  <c:v>Lama Penyinaran Matahari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'Data Klimatologi '!$BI$36:$BI$47</c:f>
              <c:strCache>
                <c:ptCount val="12"/>
                <c:pt idx="0">
                  <c:v>January</c:v>
                </c:pt>
                <c:pt idx="1">
                  <c:v>February</c:v>
                </c:pt>
                <c:pt idx="2">
                  <c:v>March</c:v>
                </c:pt>
                <c:pt idx="3">
                  <c:v>April</c:v>
                </c:pt>
                <c:pt idx="4">
                  <c:v>May</c:v>
                </c:pt>
                <c:pt idx="5">
                  <c:v>June</c:v>
                </c:pt>
                <c:pt idx="6">
                  <c:v>July</c:v>
                </c:pt>
                <c:pt idx="7">
                  <c:v>August</c:v>
                </c:pt>
                <c:pt idx="8">
                  <c:v>September</c:v>
                </c:pt>
                <c:pt idx="9">
                  <c:v>October</c:v>
                </c:pt>
                <c:pt idx="10">
                  <c:v>November</c:v>
                </c:pt>
                <c:pt idx="11">
                  <c:v>December</c:v>
                </c:pt>
              </c:strCache>
            </c:strRef>
          </c:cat>
          <c:val>
            <c:numRef>
              <c:f>'Data Klimatologi '!$BJ$36:$BJ$47</c:f>
              <c:numCache>
                <c:formatCode>0.0</c:formatCode>
                <c:ptCount val="12"/>
                <c:pt idx="0">
                  <c:v>41.4</c:v>
                </c:pt>
                <c:pt idx="1">
                  <c:v>50.199999999999996</c:v>
                </c:pt>
                <c:pt idx="2">
                  <c:v>47.85</c:v>
                </c:pt>
                <c:pt idx="3">
                  <c:v>46.300000000000004</c:v>
                </c:pt>
                <c:pt idx="4">
                  <c:v>43.6</c:v>
                </c:pt>
                <c:pt idx="5">
                  <c:v>35.43333333333333</c:v>
                </c:pt>
                <c:pt idx="6">
                  <c:v>48.699999999999996</c:v>
                </c:pt>
                <c:pt idx="7">
                  <c:v>46.550000000000004</c:v>
                </c:pt>
                <c:pt idx="8">
                  <c:v>48.383333333333333</c:v>
                </c:pt>
                <c:pt idx="9">
                  <c:v>45.366666666666667</c:v>
                </c:pt>
                <c:pt idx="10">
                  <c:v>40.949999999999996</c:v>
                </c:pt>
                <c:pt idx="11">
                  <c:v>42.766666666666673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846-4C20-BDC8-8620E3DFF0F9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375136272"/>
        <c:axId val="375136600"/>
      </c:barChart>
      <c:lineChart>
        <c:grouping val="standard"/>
        <c:varyColors val="0"/>
        <c:ser>
          <c:idx val="1"/>
          <c:order val="1"/>
          <c:tx>
            <c:strRef>
              <c:f>'Data Klimatologi '!$BK$35</c:f>
              <c:strCache>
                <c:ptCount val="1"/>
                <c:pt idx="0">
                  <c:v>Tutupan Awan</c:v>
                </c:pt>
              </c:strCache>
            </c:strRef>
          </c:tx>
          <c:spPr>
            <a:ln w="34925" cap="rnd">
              <a:solidFill>
                <a:schemeClr val="accent2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'Data Klimatologi '!$BI$36:$BI$47</c:f>
              <c:strCache>
                <c:ptCount val="12"/>
                <c:pt idx="0">
                  <c:v>January</c:v>
                </c:pt>
                <c:pt idx="1">
                  <c:v>February</c:v>
                </c:pt>
                <c:pt idx="2">
                  <c:v>March</c:v>
                </c:pt>
                <c:pt idx="3">
                  <c:v>April</c:v>
                </c:pt>
                <c:pt idx="4">
                  <c:v>May</c:v>
                </c:pt>
                <c:pt idx="5">
                  <c:v>June</c:v>
                </c:pt>
                <c:pt idx="6">
                  <c:v>July</c:v>
                </c:pt>
                <c:pt idx="7">
                  <c:v>August</c:v>
                </c:pt>
                <c:pt idx="8">
                  <c:v>September</c:v>
                </c:pt>
                <c:pt idx="9">
                  <c:v>October</c:v>
                </c:pt>
                <c:pt idx="10">
                  <c:v>November</c:v>
                </c:pt>
                <c:pt idx="11">
                  <c:v>December</c:v>
                </c:pt>
              </c:strCache>
            </c:strRef>
          </c:cat>
          <c:val>
            <c:numRef>
              <c:f>'Data Klimatologi '!$BK$36:$BK$47</c:f>
              <c:numCache>
                <c:formatCode>0.0</c:formatCode>
                <c:ptCount val="12"/>
                <c:pt idx="0">
                  <c:v>47.5</c:v>
                </c:pt>
                <c:pt idx="1">
                  <c:v>41.5</c:v>
                </c:pt>
                <c:pt idx="2">
                  <c:v>44.666666666666664</c:v>
                </c:pt>
                <c:pt idx="3">
                  <c:v>44.5</c:v>
                </c:pt>
                <c:pt idx="4">
                  <c:v>39</c:v>
                </c:pt>
                <c:pt idx="5">
                  <c:v>45.666666666666664</c:v>
                </c:pt>
                <c:pt idx="6">
                  <c:v>38.5</c:v>
                </c:pt>
                <c:pt idx="7">
                  <c:v>35.166666666666664</c:v>
                </c:pt>
                <c:pt idx="8">
                  <c:v>33.333333333333336</c:v>
                </c:pt>
                <c:pt idx="9">
                  <c:v>40.833333333333336</c:v>
                </c:pt>
                <c:pt idx="10">
                  <c:v>43.5</c:v>
                </c:pt>
                <c:pt idx="11">
                  <c:v>48.5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3846-4C20-BDC8-8620E3DFF0F9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375136272"/>
        <c:axId val="375136600"/>
      </c:lineChart>
      <c:catAx>
        <c:axId val="3751362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lt1">
                <a:lumMod val="95000"/>
                <a:alpha val="54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75136600"/>
        <c:crosses val="autoZero"/>
        <c:auto val="1"/>
        <c:lblAlgn val="ctr"/>
        <c:lblOffset val="100"/>
        <c:noMultiLvlLbl val="0"/>
      </c:catAx>
      <c:valAx>
        <c:axId val="3751366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lt1">
                  <a:lumMod val="95000"/>
                  <a:alpha val="10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1" i="0" u="none" strike="noStrike" kern="1200" cap="all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Persentase</a:t>
                </a:r>
                <a:r>
                  <a:rPr lang="en-US" baseline="0"/>
                  <a:t> (%)</a:t>
                </a:r>
                <a:endParaRPr lang="en-US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1" i="0" u="none" strike="noStrike" kern="1200" cap="all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7513627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stacked"/>
        <c:varyColors val="0"/>
        <c:ser>
          <c:idx val="0"/>
          <c:order val="0"/>
          <c:tx>
            <c:strRef>
              <c:f>'Data Solar Radiasi'!$C$36</c:f>
              <c:strCache>
                <c:ptCount val="1"/>
                <c:pt idx="0">
                  <c:v>Radiasi Matahari Rata-rata Bulanan</c:v>
                </c:pt>
              </c:strCache>
            </c:strRef>
          </c:tx>
          <c:spPr>
            <a:gradFill rotWithShape="1">
              <a:gsLst>
                <a:gs pos="0">
                  <a:schemeClr val="accent2">
                    <a:satMod val="103000"/>
                    <a:lumMod val="102000"/>
                    <a:tint val="94000"/>
                  </a:schemeClr>
                </a:gs>
                <a:gs pos="50000">
                  <a:schemeClr val="accent2">
                    <a:satMod val="110000"/>
                    <a:lumMod val="100000"/>
                    <a:shade val="100000"/>
                  </a:schemeClr>
                </a:gs>
                <a:gs pos="100000">
                  <a:schemeClr val="accent2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'Data Solar Radiasi'!$B$37:$B$48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Mar</c:v>
                </c:pt>
                <c:pt idx="3">
                  <c:v>Apr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Sept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'Data Solar Radiasi'!$C$37:$C$48</c:f>
              <c:numCache>
                <c:formatCode>General</c:formatCode>
                <c:ptCount val="12"/>
                <c:pt idx="0">
                  <c:v>70.900000000000006</c:v>
                </c:pt>
                <c:pt idx="1">
                  <c:v>73.900000000000006</c:v>
                </c:pt>
                <c:pt idx="2">
                  <c:v>84</c:v>
                </c:pt>
                <c:pt idx="3">
                  <c:v>84.2</c:v>
                </c:pt>
                <c:pt idx="4">
                  <c:v>85.3</c:v>
                </c:pt>
                <c:pt idx="5">
                  <c:v>75.5</c:v>
                </c:pt>
                <c:pt idx="6">
                  <c:v>80.599999999999994</c:v>
                </c:pt>
                <c:pt idx="7">
                  <c:v>77.7</c:v>
                </c:pt>
                <c:pt idx="8">
                  <c:v>76.400000000000006</c:v>
                </c:pt>
                <c:pt idx="9">
                  <c:v>76.5</c:v>
                </c:pt>
                <c:pt idx="10">
                  <c:v>72.8</c:v>
                </c:pt>
                <c:pt idx="11">
                  <c:v>73.400000000000006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EFA-40CB-BC86-AB9273836CBF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689770432"/>
        <c:axId val="689770760"/>
        <c:axId val="0"/>
      </c:bar3DChart>
      <c:catAx>
        <c:axId val="6897704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89770760"/>
        <c:crosses val="autoZero"/>
        <c:auto val="1"/>
        <c:lblAlgn val="ctr"/>
        <c:lblOffset val="100"/>
        <c:noMultiLvlLbl val="0"/>
      </c:catAx>
      <c:valAx>
        <c:axId val="6897707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dk1">
                  <a:lumMod val="50000"/>
                  <a:lumOff val="50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1" i="0" u="none" strike="noStrike" kern="1200" cap="all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DNI</a:t>
                </a:r>
                <a:r>
                  <a:rPr lang="en-US" baseline="0"/>
                  <a:t> [KWh/m2]</a:t>
                </a:r>
                <a:endParaRPr lang="en-US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1" i="0" u="none" strike="noStrike" kern="1200" cap="all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8977043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Jan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strRef>
              <c:f>'Data Solar Radiasi'!$C$7</c:f>
              <c:strCache>
                <c:ptCount val="1"/>
                <c:pt idx="0">
                  <c:v>Value (Wh/m2)</c:v>
                </c:pt>
              </c:strCache>
            </c:strRef>
          </c:tx>
          <c:spPr>
            <a:ln w="9525" cap="rnd">
              <a:solidFill>
                <a:schemeClr val="accent6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xVal>
            <c:numRef>
              <c:f>'Data Solar Radiasi'!$B$8:$B$31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'Data Solar Radiasi'!$C$8:$C$31</c:f>
              <c:numCache>
                <c:formatCode>General</c:formatCode>
                <c:ptCount val="2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21.4</c:v>
                </c:pt>
                <c:pt idx="7">
                  <c:v>131.80000000000001</c:v>
                </c:pt>
                <c:pt idx="8">
                  <c:v>190.4</c:v>
                </c:pt>
                <c:pt idx="9">
                  <c:v>229.3</c:v>
                </c:pt>
                <c:pt idx="10">
                  <c:v>243.8</c:v>
                </c:pt>
                <c:pt idx="11">
                  <c:v>236.3</c:v>
                </c:pt>
                <c:pt idx="12">
                  <c:v>246.9</c:v>
                </c:pt>
                <c:pt idx="13">
                  <c:v>242</c:v>
                </c:pt>
                <c:pt idx="14">
                  <c:v>240.5</c:v>
                </c:pt>
                <c:pt idx="15">
                  <c:v>210.9</c:v>
                </c:pt>
                <c:pt idx="16">
                  <c:v>173.1</c:v>
                </c:pt>
                <c:pt idx="17">
                  <c:v>119.2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F974-45A3-8CCC-EE3E9D4E417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28992416"/>
        <c:axId val="628994712"/>
      </c:scatterChart>
      <c:valAx>
        <c:axId val="628992416"/>
        <c:scaling>
          <c:orientation val="minMax"/>
          <c:max val="2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28994712"/>
        <c:crosses val="autoZero"/>
        <c:crossBetween val="midCat"/>
        <c:majorUnit val="6"/>
        <c:minorUnit val="2"/>
      </c:valAx>
      <c:valAx>
        <c:axId val="628994712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28992416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Feb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strRef>
              <c:f>'Data Solar Radiasi'!$I$7</c:f>
              <c:strCache>
                <c:ptCount val="1"/>
                <c:pt idx="0">
                  <c:v>Value (Wh/m2)</c:v>
                </c:pt>
              </c:strCache>
            </c:strRef>
          </c:tx>
          <c:spPr>
            <a:ln w="9525" cap="rnd">
              <a:solidFill>
                <a:schemeClr val="accent6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xVal>
            <c:numRef>
              <c:f>'Data Solar Radiasi'!$H$8:$H$31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'Data Solar Radiasi'!$I$8:$I$31</c:f>
              <c:numCache>
                <c:formatCode>General</c:formatCode>
                <c:ptCount val="2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23.1</c:v>
                </c:pt>
                <c:pt idx="7">
                  <c:v>157.69999999999999</c:v>
                </c:pt>
                <c:pt idx="8">
                  <c:v>227.1</c:v>
                </c:pt>
                <c:pt idx="9">
                  <c:v>270.5</c:v>
                </c:pt>
                <c:pt idx="10">
                  <c:v>270.60000000000002</c:v>
                </c:pt>
                <c:pt idx="11">
                  <c:v>271.3</c:v>
                </c:pt>
                <c:pt idx="12">
                  <c:v>252.6</c:v>
                </c:pt>
                <c:pt idx="13">
                  <c:v>254.1</c:v>
                </c:pt>
                <c:pt idx="14">
                  <c:v>283</c:v>
                </c:pt>
                <c:pt idx="15">
                  <c:v>269.8</c:v>
                </c:pt>
                <c:pt idx="16">
                  <c:v>212.4</c:v>
                </c:pt>
                <c:pt idx="17">
                  <c:v>148.5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883B-49C3-A996-D0D78688989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02991672"/>
        <c:axId val="497072616"/>
      </c:scatterChart>
      <c:valAx>
        <c:axId val="802991672"/>
        <c:scaling>
          <c:orientation val="minMax"/>
          <c:max val="2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97072616"/>
        <c:crosses val="autoZero"/>
        <c:crossBetween val="midCat"/>
        <c:majorUnit val="6"/>
        <c:minorUnit val="2"/>
      </c:valAx>
      <c:valAx>
        <c:axId val="497072616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02991672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Mar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strRef>
              <c:f>'Data Solar Radiasi'!$O$7</c:f>
              <c:strCache>
                <c:ptCount val="1"/>
                <c:pt idx="0">
                  <c:v>Value (Wh/m2)</c:v>
                </c:pt>
              </c:strCache>
            </c:strRef>
          </c:tx>
          <c:spPr>
            <a:ln w="9525" cap="rnd">
              <a:solidFill>
                <a:schemeClr val="accent6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xVal>
            <c:numRef>
              <c:f>'Data Solar Radiasi'!$N$8:$N$31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'Data Solar Radiasi'!$O$8:$O$31</c:f>
              <c:numCache>
                <c:formatCode>General</c:formatCode>
                <c:ptCount val="2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29</c:v>
                </c:pt>
                <c:pt idx="7">
                  <c:v>175.7</c:v>
                </c:pt>
                <c:pt idx="8">
                  <c:v>249.4</c:v>
                </c:pt>
                <c:pt idx="9">
                  <c:v>273.89999999999998</c:v>
                </c:pt>
                <c:pt idx="10">
                  <c:v>260.8</c:v>
                </c:pt>
                <c:pt idx="11">
                  <c:v>266.10000000000002</c:v>
                </c:pt>
                <c:pt idx="12">
                  <c:v>250</c:v>
                </c:pt>
                <c:pt idx="13">
                  <c:v>288.8</c:v>
                </c:pt>
                <c:pt idx="14">
                  <c:v>285</c:v>
                </c:pt>
                <c:pt idx="15">
                  <c:v>274.8</c:v>
                </c:pt>
                <c:pt idx="16">
                  <c:v>227.2</c:v>
                </c:pt>
                <c:pt idx="17">
                  <c:v>130.19999999999999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3E3D-4B93-8A62-A31035CDB06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47594184"/>
        <c:axId val="847598448"/>
      </c:scatterChart>
      <c:valAx>
        <c:axId val="847594184"/>
        <c:scaling>
          <c:orientation val="minMax"/>
          <c:max val="2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47598448"/>
        <c:crosses val="autoZero"/>
        <c:crossBetween val="midCat"/>
        <c:majorUnit val="6"/>
        <c:minorUnit val="2"/>
      </c:valAx>
      <c:valAx>
        <c:axId val="847598448"/>
        <c:scaling>
          <c:orientation val="minMax"/>
          <c:max val="3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4759418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Apr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strRef>
              <c:f>'Data Solar Radiasi'!$U$7</c:f>
              <c:strCache>
                <c:ptCount val="1"/>
                <c:pt idx="0">
                  <c:v>Value (Wh/m2)</c:v>
                </c:pt>
              </c:strCache>
            </c:strRef>
          </c:tx>
          <c:spPr>
            <a:ln w="9525" cap="rnd">
              <a:solidFill>
                <a:schemeClr val="accent6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xVal>
            <c:numRef>
              <c:f>'Data Solar Radiasi'!$T$8:$T$31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'Data Solar Radiasi'!$U$8:$U$31</c:f>
              <c:numCache>
                <c:formatCode>General</c:formatCode>
                <c:ptCount val="2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55.5</c:v>
                </c:pt>
                <c:pt idx="7">
                  <c:v>209.1</c:v>
                </c:pt>
                <c:pt idx="8">
                  <c:v>278.60000000000002</c:v>
                </c:pt>
                <c:pt idx="9">
                  <c:v>296.10000000000002</c:v>
                </c:pt>
                <c:pt idx="10">
                  <c:v>296.8</c:v>
                </c:pt>
                <c:pt idx="11">
                  <c:v>313</c:v>
                </c:pt>
                <c:pt idx="12">
                  <c:v>275.5</c:v>
                </c:pt>
                <c:pt idx="13">
                  <c:v>259.10000000000002</c:v>
                </c:pt>
                <c:pt idx="14">
                  <c:v>266.7</c:v>
                </c:pt>
                <c:pt idx="15">
                  <c:v>250</c:v>
                </c:pt>
                <c:pt idx="16">
                  <c:v>218.5</c:v>
                </c:pt>
                <c:pt idx="17">
                  <c:v>88.1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5726-42CB-A861-395E1C90D61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36032224"/>
        <c:axId val="636035504"/>
      </c:scatterChart>
      <c:valAx>
        <c:axId val="636032224"/>
        <c:scaling>
          <c:orientation val="minMax"/>
          <c:max val="2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36035504"/>
        <c:crosses val="autoZero"/>
        <c:crossBetween val="midCat"/>
        <c:majorUnit val="6"/>
        <c:minorUnit val="2"/>
      </c:valAx>
      <c:valAx>
        <c:axId val="636035504"/>
        <c:scaling>
          <c:orientation val="minMax"/>
          <c:max val="35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3603222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May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strRef>
              <c:f>'Data Solar Radiasi'!$O$36</c:f>
              <c:strCache>
                <c:ptCount val="1"/>
                <c:pt idx="0">
                  <c:v>Value (Wh/m2)</c:v>
                </c:pt>
              </c:strCache>
            </c:strRef>
          </c:tx>
          <c:spPr>
            <a:ln w="9525" cap="rnd">
              <a:solidFill>
                <a:schemeClr val="accent6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xVal>
            <c:numRef>
              <c:f>'Data Solar Radiasi'!$N$37:$N$60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'Data Solar Radiasi'!$O$37:$O$60</c:f>
              <c:numCache>
                <c:formatCode>General</c:formatCode>
                <c:ptCount val="2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83.6</c:v>
                </c:pt>
                <c:pt idx="7">
                  <c:v>224.3</c:v>
                </c:pt>
                <c:pt idx="8">
                  <c:v>283.3</c:v>
                </c:pt>
                <c:pt idx="9">
                  <c:v>289.39999999999998</c:v>
                </c:pt>
                <c:pt idx="10">
                  <c:v>282.8</c:v>
                </c:pt>
                <c:pt idx="11">
                  <c:v>286.60000000000002</c:v>
                </c:pt>
                <c:pt idx="12">
                  <c:v>270.5</c:v>
                </c:pt>
                <c:pt idx="13">
                  <c:v>266.10000000000002</c:v>
                </c:pt>
                <c:pt idx="14">
                  <c:v>246</c:v>
                </c:pt>
                <c:pt idx="15">
                  <c:v>224</c:v>
                </c:pt>
                <c:pt idx="16">
                  <c:v>205.8</c:v>
                </c:pt>
                <c:pt idx="17">
                  <c:v>89.4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7D95-40CB-8912-E0E3F9BD1D9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89780600"/>
        <c:axId val="689780928"/>
      </c:scatterChart>
      <c:valAx>
        <c:axId val="689780600"/>
        <c:scaling>
          <c:orientation val="minMax"/>
          <c:max val="2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89780928"/>
        <c:crosses val="autoZero"/>
        <c:crossBetween val="midCat"/>
        <c:majorUnit val="6"/>
        <c:minorUnit val="2"/>
      </c:valAx>
      <c:valAx>
        <c:axId val="689780928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8978060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Jun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strRef>
              <c:f>'Data Solar Radiasi'!$U$36</c:f>
              <c:strCache>
                <c:ptCount val="1"/>
                <c:pt idx="0">
                  <c:v>Value (Wh/m2)</c:v>
                </c:pt>
              </c:strCache>
            </c:strRef>
          </c:tx>
          <c:spPr>
            <a:ln w="9525" cap="rnd">
              <a:solidFill>
                <a:schemeClr val="accent6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xVal>
            <c:numRef>
              <c:f>'Data Solar Radiasi'!$T$37:$T$60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'Data Solar Radiasi'!$U$37:$U$60</c:f>
              <c:numCache>
                <c:formatCode>General</c:formatCode>
                <c:ptCount val="2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58.4</c:v>
                </c:pt>
                <c:pt idx="7">
                  <c:v>211.4</c:v>
                </c:pt>
                <c:pt idx="8">
                  <c:v>253.1</c:v>
                </c:pt>
                <c:pt idx="9">
                  <c:v>262.2</c:v>
                </c:pt>
                <c:pt idx="10">
                  <c:v>260.2</c:v>
                </c:pt>
                <c:pt idx="11">
                  <c:v>259.7</c:v>
                </c:pt>
                <c:pt idx="12">
                  <c:v>269.10000000000002</c:v>
                </c:pt>
                <c:pt idx="13">
                  <c:v>243.3</c:v>
                </c:pt>
                <c:pt idx="14">
                  <c:v>220.1</c:v>
                </c:pt>
                <c:pt idx="15">
                  <c:v>204.8</c:v>
                </c:pt>
                <c:pt idx="16">
                  <c:v>192.5</c:v>
                </c:pt>
                <c:pt idx="17">
                  <c:v>80.8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6908-45D8-B5FE-310ADE6A3A5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28990776"/>
        <c:axId val="628995368"/>
      </c:scatterChart>
      <c:valAx>
        <c:axId val="628990776"/>
        <c:scaling>
          <c:orientation val="minMax"/>
          <c:max val="2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28995368"/>
        <c:crosses val="autoZero"/>
        <c:crossBetween val="midCat"/>
        <c:majorUnit val="6"/>
        <c:minorUnit val="2"/>
      </c:valAx>
      <c:valAx>
        <c:axId val="628995368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28990776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Jul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strRef>
              <c:f>'Data Solar Radiasi'!$C$63</c:f>
              <c:strCache>
                <c:ptCount val="1"/>
                <c:pt idx="0">
                  <c:v>Value (Wh/m2)</c:v>
                </c:pt>
              </c:strCache>
            </c:strRef>
          </c:tx>
          <c:spPr>
            <a:ln w="9525" cap="rnd">
              <a:solidFill>
                <a:schemeClr val="accent6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xVal>
            <c:numRef>
              <c:f>'Data Solar Radiasi'!$B$64:$B$87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'Data Solar Radiasi'!$C$64:$C$87</c:f>
              <c:numCache>
                <c:formatCode>General</c:formatCode>
                <c:ptCount val="2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34.200000000000003</c:v>
                </c:pt>
                <c:pt idx="7">
                  <c:v>202.1</c:v>
                </c:pt>
                <c:pt idx="8">
                  <c:v>258.89999999999998</c:v>
                </c:pt>
                <c:pt idx="9">
                  <c:v>252.9</c:v>
                </c:pt>
                <c:pt idx="10">
                  <c:v>241.5</c:v>
                </c:pt>
                <c:pt idx="11">
                  <c:v>261.7</c:v>
                </c:pt>
                <c:pt idx="12">
                  <c:v>267</c:v>
                </c:pt>
                <c:pt idx="13">
                  <c:v>258.5</c:v>
                </c:pt>
                <c:pt idx="14">
                  <c:v>248.8</c:v>
                </c:pt>
                <c:pt idx="15">
                  <c:v>231.9</c:v>
                </c:pt>
                <c:pt idx="16">
                  <c:v>213.9</c:v>
                </c:pt>
                <c:pt idx="17">
                  <c:v>128.5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F1A5-4F37-A4C9-FAC6266EBBD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499596696"/>
        <c:axId val="499598336"/>
      </c:scatterChart>
      <c:valAx>
        <c:axId val="499596696"/>
        <c:scaling>
          <c:orientation val="minMax"/>
          <c:max val="2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99598336"/>
        <c:crosses val="autoZero"/>
        <c:crossBetween val="midCat"/>
        <c:majorUnit val="6"/>
        <c:minorUnit val="2"/>
      </c:valAx>
      <c:valAx>
        <c:axId val="499598336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99596696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Aug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strRef>
              <c:f>'Data Solar Radiasi'!$I$63</c:f>
              <c:strCache>
                <c:ptCount val="1"/>
                <c:pt idx="0">
                  <c:v>Value (Wh/m2)</c:v>
                </c:pt>
              </c:strCache>
            </c:strRef>
          </c:tx>
          <c:spPr>
            <a:ln w="9525" cap="rnd">
              <a:solidFill>
                <a:schemeClr val="accent6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xVal>
            <c:numRef>
              <c:f>'Data Solar Radiasi'!$H$64:$H$87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'Data Solar Radiasi'!$I$64:$I$87</c:f>
              <c:numCache>
                <c:formatCode>General</c:formatCode>
                <c:ptCount val="2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33.1</c:v>
                </c:pt>
                <c:pt idx="7">
                  <c:v>198.4</c:v>
                </c:pt>
                <c:pt idx="8">
                  <c:v>260.5</c:v>
                </c:pt>
                <c:pt idx="9">
                  <c:v>242.9</c:v>
                </c:pt>
                <c:pt idx="10">
                  <c:v>228.4</c:v>
                </c:pt>
                <c:pt idx="11">
                  <c:v>234.3</c:v>
                </c:pt>
                <c:pt idx="12">
                  <c:v>228</c:v>
                </c:pt>
                <c:pt idx="13">
                  <c:v>230.9</c:v>
                </c:pt>
                <c:pt idx="14">
                  <c:v>239.2</c:v>
                </c:pt>
                <c:pt idx="15">
                  <c:v>248.3</c:v>
                </c:pt>
                <c:pt idx="16">
                  <c:v>229.2</c:v>
                </c:pt>
                <c:pt idx="17">
                  <c:v>132.4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0CBA-4BC6-B54F-999DA062861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488593792"/>
        <c:axId val="488594776"/>
      </c:scatterChart>
      <c:valAx>
        <c:axId val="488593792"/>
        <c:scaling>
          <c:orientation val="minMax"/>
          <c:max val="2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88594776"/>
        <c:crosses val="autoZero"/>
        <c:crossBetween val="midCat"/>
        <c:majorUnit val="6"/>
        <c:minorUnit val="2"/>
      </c:valAx>
      <c:valAx>
        <c:axId val="488594776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88593792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Sep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strRef>
              <c:f>'Data Solar Radiasi'!$O$63</c:f>
              <c:strCache>
                <c:ptCount val="1"/>
                <c:pt idx="0">
                  <c:v>Value (Wh/m2)</c:v>
                </c:pt>
              </c:strCache>
            </c:strRef>
          </c:tx>
          <c:spPr>
            <a:ln w="9525" cap="rnd">
              <a:solidFill>
                <a:schemeClr val="accent6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xVal>
            <c:numRef>
              <c:f>'Data Solar Radiasi'!$N$64:$N$87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'Data Solar Radiasi'!$O$64:$O$87</c:f>
              <c:numCache>
                <c:formatCode>General</c:formatCode>
                <c:ptCount val="2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66.5</c:v>
                </c:pt>
                <c:pt idx="7">
                  <c:v>191.6</c:v>
                </c:pt>
                <c:pt idx="8">
                  <c:v>248.9</c:v>
                </c:pt>
                <c:pt idx="9">
                  <c:v>237.6</c:v>
                </c:pt>
                <c:pt idx="10">
                  <c:v>236.6</c:v>
                </c:pt>
                <c:pt idx="11">
                  <c:v>262.60000000000002</c:v>
                </c:pt>
                <c:pt idx="12">
                  <c:v>258.10000000000002</c:v>
                </c:pt>
                <c:pt idx="13">
                  <c:v>279.60000000000002</c:v>
                </c:pt>
                <c:pt idx="14">
                  <c:v>261.2</c:v>
                </c:pt>
                <c:pt idx="15">
                  <c:v>240.7</c:v>
                </c:pt>
                <c:pt idx="16">
                  <c:v>192</c:v>
                </c:pt>
                <c:pt idx="17">
                  <c:v>69.599999999999994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77F9-4078-9513-6B9F7713D2D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098909808"/>
        <c:axId val="1098911120"/>
      </c:scatterChart>
      <c:valAx>
        <c:axId val="1098909808"/>
        <c:scaling>
          <c:orientation val="minMax"/>
          <c:max val="2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098911120"/>
        <c:crosses val="autoZero"/>
        <c:crossBetween val="midCat"/>
        <c:majorUnit val="6"/>
        <c:minorUnit val="2"/>
      </c:valAx>
      <c:valAx>
        <c:axId val="1098911120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098909808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Oct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strRef>
              <c:f>'Data Solar Radiasi'!$U$63</c:f>
              <c:strCache>
                <c:ptCount val="1"/>
                <c:pt idx="0">
                  <c:v>Value (Wh/m2)</c:v>
                </c:pt>
              </c:strCache>
            </c:strRef>
          </c:tx>
          <c:spPr>
            <a:ln w="9525" cap="rnd">
              <a:solidFill>
                <a:schemeClr val="accent6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xVal>
            <c:numRef>
              <c:f>'Data Solar Radiasi'!$T$64:$T$87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'Data Solar Radiasi'!$U$64:$U$87</c:f>
              <c:numCache>
                <c:formatCode>General</c:formatCode>
                <c:ptCount val="2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83.1</c:v>
                </c:pt>
                <c:pt idx="7">
                  <c:v>188.4</c:v>
                </c:pt>
                <c:pt idx="8">
                  <c:v>243.2</c:v>
                </c:pt>
                <c:pt idx="9">
                  <c:v>259.8</c:v>
                </c:pt>
                <c:pt idx="10">
                  <c:v>260.39999999999998</c:v>
                </c:pt>
                <c:pt idx="11">
                  <c:v>258.5</c:v>
                </c:pt>
                <c:pt idx="12">
                  <c:v>236.6</c:v>
                </c:pt>
                <c:pt idx="13">
                  <c:v>251.9</c:v>
                </c:pt>
                <c:pt idx="14">
                  <c:v>245.3</c:v>
                </c:pt>
                <c:pt idx="15">
                  <c:v>211.3</c:v>
                </c:pt>
                <c:pt idx="16">
                  <c:v>172.2</c:v>
                </c:pt>
                <c:pt idx="17">
                  <c:v>58.3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1FB4-41DE-BE32-B3101EBD96D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57064872"/>
        <c:axId val="686453152"/>
      </c:scatterChart>
      <c:valAx>
        <c:axId val="157064872"/>
        <c:scaling>
          <c:orientation val="minMax"/>
          <c:max val="2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86453152"/>
        <c:crosses val="autoZero"/>
        <c:crossBetween val="midCat"/>
        <c:majorUnit val="6"/>
        <c:minorUnit val="2"/>
      </c:valAx>
      <c:valAx>
        <c:axId val="686453152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57064872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Nov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strRef>
              <c:f>'Data Solar Radiasi'!$C$91</c:f>
              <c:strCache>
                <c:ptCount val="1"/>
                <c:pt idx="0">
                  <c:v>Value (Wh/m2)</c:v>
                </c:pt>
              </c:strCache>
            </c:strRef>
          </c:tx>
          <c:spPr>
            <a:ln w="9525" cap="rnd">
              <a:solidFill>
                <a:schemeClr val="accent6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xVal>
            <c:numRef>
              <c:f>'Data Solar Radiasi'!$B$92:$B$115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'Data Solar Radiasi'!$C$92:$C$115</c:f>
              <c:numCache>
                <c:formatCode>General</c:formatCode>
                <c:ptCount val="2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106</c:v>
                </c:pt>
                <c:pt idx="7">
                  <c:v>205.4</c:v>
                </c:pt>
                <c:pt idx="8">
                  <c:v>248</c:v>
                </c:pt>
                <c:pt idx="9">
                  <c:v>257.3</c:v>
                </c:pt>
                <c:pt idx="10">
                  <c:v>245.2</c:v>
                </c:pt>
                <c:pt idx="11">
                  <c:v>241.9</c:v>
                </c:pt>
                <c:pt idx="12">
                  <c:v>235.8</c:v>
                </c:pt>
                <c:pt idx="13">
                  <c:v>224.7</c:v>
                </c:pt>
                <c:pt idx="14">
                  <c:v>215.2</c:v>
                </c:pt>
                <c:pt idx="15">
                  <c:v>200</c:v>
                </c:pt>
                <c:pt idx="16">
                  <c:v>177.9</c:v>
                </c:pt>
                <c:pt idx="17">
                  <c:v>68.599999999999994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47F5-489A-85FE-7D314D22111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02992984"/>
        <c:axId val="802994624"/>
      </c:scatterChart>
      <c:valAx>
        <c:axId val="802992984"/>
        <c:scaling>
          <c:orientation val="minMax"/>
          <c:max val="2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02994624"/>
        <c:crosses val="autoZero"/>
        <c:crossBetween val="midCat"/>
        <c:majorUnit val="6"/>
        <c:minorUnit val="2"/>
      </c:valAx>
      <c:valAx>
        <c:axId val="802994624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0299298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Dec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strRef>
              <c:f>'Data Solar Radiasi'!$I$91</c:f>
              <c:strCache>
                <c:ptCount val="1"/>
                <c:pt idx="0">
                  <c:v>Value (Wh/m2)</c:v>
                </c:pt>
              </c:strCache>
            </c:strRef>
          </c:tx>
          <c:spPr>
            <a:ln w="9525" cap="rnd">
              <a:solidFill>
                <a:schemeClr val="accent6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none"/>
          </c:marker>
          <c:xVal>
            <c:numRef>
              <c:f>'Data Solar Radiasi'!$H$92:$H$115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'Data Solar Radiasi'!$I$92:$I$115</c:f>
              <c:numCache>
                <c:formatCode>General</c:formatCode>
                <c:ptCount val="2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63.7</c:v>
                </c:pt>
                <c:pt idx="7">
                  <c:v>159.5</c:v>
                </c:pt>
                <c:pt idx="8">
                  <c:v>207.1</c:v>
                </c:pt>
                <c:pt idx="9">
                  <c:v>241.5</c:v>
                </c:pt>
                <c:pt idx="10">
                  <c:v>254.2</c:v>
                </c:pt>
                <c:pt idx="11">
                  <c:v>255.9</c:v>
                </c:pt>
                <c:pt idx="12">
                  <c:v>251.3</c:v>
                </c:pt>
                <c:pt idx="13">
                  <c:v>240</c:v>
                </c:pt>
                <c:pt idx="14">
                  <c:v>228</c:v>
                </c:pt>
                <c:pt idx="15">
                  <c:v>201.6</c:v>
                </c:pt>
                <c:pt idx="16">
                  <c:v>170.7</c:v>
                </c:pt>
                <c:pt idx="17">
                  <c:v>93.6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8D23-4837-B0F4-4C881B0F3D2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499597024"/>
        <c:axId val="499598992"/>
      </c:scatterChart>
      <c:valAx>
        <c:axId val="499597024"/>
        <c:scaling>
          <c:orientation val="minMax"/>
          <c:max val="2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99598992"/>
        <c:crosses val="autoZero"/>
        <c:crossBetween val="midCat"/>
        <c:majorUnit val="6"/>
        <c:minorUnit val="2"/>
      </c:valAx>
      <c:valAx>
        <c:axId val="499598992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9959702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2">
  <a:schemeClr val="accent2"/>
  <a:schemeClr val="accent4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2">
  <a:schemeClr val="accent2"/>
  <a:schemeClr val="accent4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2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5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7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8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94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/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dk1">
            <a:lumMod val="50000"/>
            <a:lumOff val="5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dk1">
            <a:lumMod val="60000"/>
            <a:lumOff val="40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/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94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/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dk1">
            <a:lumMod val="50000"/>
            <a:lumOff val="5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dk1">
            <a:lumMod val="60000"/>
            <a:lumOff val="40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/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3.xml><?xml version="1.0" encoding="utf-8"?>
<cs:chartStyle xmlns:cs="http://schemas.microsoft.com/office/drawing/2012/chartStyle" xmlns:a="http://schemas.openxmlformats.org/drawingml/2006/main" id="294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/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dk1">
            <a:lumMod val="50000"/>
            <a:lumOff val="5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dk1">
            <a:lumMod val="60000"/>
            <a:lumOff val="40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/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4.xml><?xml version="1.0" encoding="utf-8"?>
<cs:chartStyle xmlns:cs="http://schemas.microsoft.com/office/drawing/2012/chartStyle" xmlns:a="http://schemas.openxmlformats.org/drawingml/2006/main" id="294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/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dk1">
            <a:lumMod val="50000"/>
            <a:lumOff val="5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dk1">
            <a:lumMod val="60000"/>
            <a:lumOff val="40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/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5.xml><?xml version="1.0" encoding="utf-8"?>
<cs:chartStyle xmlns:cs="http://schemas.microsoft.com/office/drawing/2012/chartStyle" xmlns:a="http://schemas.openxmlformats.org/drawingml/2006/main" id="268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lt1">
            <a:lumMod val="95000"/>
            <a:alpha val="5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6.xml><?xml version="1.0" encoding="utf-8"?>
<cs:chartStyle xmlns:cs="http://schemas.microsoft.com/office/drawing/2012/chartStyle" xmlns:a="http://schemas.openxmlformats.org/drawingml/2006/main" id="294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/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dk1">
            <a:lumMod val="50000"/>
            <a:lumOff val="5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dk1">
            <a:lumMod val="60000"/>
            <a:lumOff val="40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/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7.xml><?xml version="1.0" encoding="utf-8"?>
<cs:chartStyle xmlns:cs="http://schemas.microsoft.com/office/drawing/2012/chartStyle" xmlns:a="http://schemas.openxmlformats.org/drawingml/2006/main" id="268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lt1">
            <a:lumMod val="95000"/>
            <a:alpha val="5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8.xml><?xml version="1.0" encoding="utf-8"?>
<cs:chartStyle xmlns:cs="http://schemas.microsoft.com/office/drawing/2012/chartStyle" xmlns:a="http://schemas.openxmlformats.org/drawingml/2006/main" id="268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lt1">
            <a:lumMod val="95000"/>
            <a:alpha val="5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9.xml><?xml version="1.0" encoding="utf-8"?>
<cs:chartStyle xmlns:cs="http://schemas.microsoft.com/office/drawing/2012/chartStyle" xmlns:a="http://schemas.openxmlformats.org/drawingml/2006/main" id="338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lt1">
            <a:lumMod val="95000"/>
            <a:alpha val="5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10.xml><?xml version="1.0" encoding="utf-8"?>
<cs:chartStyle xmlns:cs="http://schemas.microsoft.com/office/drawing/2012/chartStyle" xmlns:a="http://schemas.openxmlformats.org/drawingml/2006/main" id="34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11.xml><?xml version="1.0" encoding="utf-8"?>
<cs:chartStyle xmlns:cs="http://schemas.microsoft.com/office/drawing/2012/chartStyle" xmlns:a="http://schemas.openxmlformats.org/drawingml/2006/main" id="28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328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gradFill>
        <a:gsLst>
          <a:gs pos="100000">
            <a:schemeClr val="dk1">
              <a:lumMod val="95000"/>
              <a:lumOff val="5000"/>
            </a:schemeClr>
          </a:gs>
          <a:gs pos="0">
            <a:schemeClr val="dk1">
              <a:lumMod val="75000"/>
              <a:lumOff val="25000"/>
            </a:schemeClr>
          </a:gs>
        </a:gsLst>
        <a:path path="circle">
          <a:fillToRect l="50000" t="50000" r="50000" b="50000"/>
        </a:path>
      </a:gradFill>
      <a:ln w="9525">
        <a:solidFill>
          <a:schemeClr val="dk1">
            <a:lumMod val="75000"/>
            <a:lumOff val="2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/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lt1">
            <a:lumMod val="95000"/>
            <a:alpha val="5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/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gradFill>
        <a:gsLst>
          <a:gs pos="100000">
            <a:schemeClr val="lt1">
              <a:lumMod val="85000"/>
            </a:schemeClr>
          </a:gs>
          <a:gs pos="0">
            <a:schemeClr val="lt1"/>
          </a:gs>
        </a:gsLst>
        <a:path path="circle">
          <a:fillToRect l="50000" t="50000" r="50000" b="50000"/>
        </a:path>
      </a:gradFill>
      <a:ln w="9525" cap="flat" cmpd="sng" algn="ctr">
        <a:solidFill>
          <a:schemeClr val="lt1"/>
        </a:solidFill>
        <a:round/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13.xml><?xml version="1.0" encoding="utf-8"?>
<cs:chartStyle xmlns:cs="http://schemas.microsoft.com/office/drawing/2012/chartStyle" xmlns:a="http://schemas.openxmlformats.org/drawingml/2006/main" id="328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gradFill>
        <a:gsLst>
          <a:gs pos="100000">
            <a:schemeClr val="dk1">
              <a:lumMod val="95000"/>
              <a:lumOff val="5000"/>
            </a:schemeClr>
          </a:gs>
          <a:gs pos="0">
            <a:schemeClr val="dk1">
              <a:lumMod val="75000"/>
              <a:lumOff val="25000"/>
            </a:schemeClr>
          </a:gs>
        </a:gsLst>
        <a:path path="circle">
          <a:fillToRect l="50000" t="50000" r="50000" b="50000"/>
        </a:path>
      </a:gradFill>
      <a:ln w="9525">
        <a:solidFill>
          <a:schemeClr val="dk1">
            <a:lumMod val="75000"/>
            <a:lumOff val="2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/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lt1">
            <a:lumMod val="95000"/>
            <a:alpha val="5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/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gradFill>
        <a:gsLst>
          <a:gs pos="100000">
            <a:schemeClr val="lt1">
              <a:lumMod val="85000"/>
            </a:schemeClr>
          </a:gs>
          <a:gs pos="0">
            <a:schemeClr val="lt1"/>
          </a:gs>
        </a:gsLst>
        <a:path path="circle">
          <a:fillToRect l="50000" t="50000" r="50000" b="50000"/>
        </a:path>
      </a:gradFill>
      <a:ln w="9525" cap="flat" cmpd="sng" algn="ctr">
        <a:solidFill>
          <a:schemeClr val="lt1"/>
        </a:solidFill>
        <a:round/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14.xml><?xml version="1.0" encoding="utf-8"?>
<cs:chartStyle xmlns:cs="http://schemas.microsoft.com/office/drawing/2012/chartStyle" xmlns:a="http://schemas.openxmlformats.org/drawingml/2006/main" id="328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gradFill>
        <a:gsLst>
          <a:gs pos="100000">
            <a:schemeClr val="dk1">
              <a:lumMod val="95000"/>
              <a:lumOff val="5000"/>
            </a:schemeClr>
          </a:gs>
          <a:gs pos="0">
            <a:schemeClr val="dk1">
              <a:lumMod val="75000"/>
              <a:lumOff val="25000"/>
            </a:schemeClr>
          </a:gs>
        </a:gsLst>
        <a:path path="circle">
          <a:fillToRect l="50000" t="50000" r="50000" b="50000"/>
        </a:path>
      </a:gradFill>
      <a:ln w="9525">
        <a:solidFill>
          <a:schemeClr val="dk1">
            <a:lumMod val="75000"/>
            <a:lumOff val="2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/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lt1">
            <a:lumMod val="95000"/>
            <a:alpha val="5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/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gradFill>
        <a:gsLst>
          <a:gs pos="100000">
            <a:schemeClr val="lt1">
              <a:lumMod val="85000"/>
            </a:schemeClr>
          </a:gs>
          <a:gs pos="0">
            <a:schemeClr val="lt1"/>
          </a:gs>
        </a:gsLst>
        <a:path path="circle">
          <a:fillToRect l="50000" t="50000" r="50000" b="50000"/>
        </a:path>
      </a:gradFill>
      <a:ln w="9525" cap="flat" cmpd="sng" algn="ctr">
        <a:solidFill>
          <a:schemeClr val="lt1"/>
        </a:solidFill>
        <a:round/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15.xml><?xml version="1.0" encoding="utf-8"?>
<cs:chartStyle xmlns:cs="http://schemas.microsoft.com/office/drawing/2012/chartStyle" xmlns:a="http://schemas.openxmlformats.org/drawingml/2006/main" id="328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gradFill>
        <a:gsLst>
          <a:gs pos="100000">
            <a:schemeClr val="dk1">
              <a:lumMod val="95000"/>
              <a:lumOff val="5000"/>
            </a:schemeClr>
          </a:gs>
          <a:gs pos="0">
            <a:schemeClr val="dk1">
              <a:lumMod val="75000"/>
              <a:lumOff val="25000"/>
            </a:schemeClr>
          </a:gs>
        </a:gsLst>
        <a:path path="circle">
          <a:fillToRect l="50000" t="50000" r="50000" b="50000"/>
        </a:path>
      </a:gradFill>
      <a:ln w="9525">
        <a:solidFill>
          <a:schemeClr val="dk1">
            <a:lumMod val="75000"/>
            <a:lumOff val="2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/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lt1">
            <a:lumMod val="95000"/>
            <a:alpha val="5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/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gradFill>
        <a:gsLst>
          <a:gs pos="100000">
            <a:schemeClr val="lt1">
              <a:lumMod val="85000"/>
            </a:schemeClr>
          </a:gs>
          <a:gs pos="0">
            <a:schemeClr val="lt1"/>
          </a:gs>
        </a:gsLst>
        <a:path path="circle">
          <a:fillToRect l="50000" t="50000" r="50000" b="50000"/>
        </a:path>
      </a:gradFill>
      <a:ln w="9525" cap="flat" cmpd="sng" algn="ctr">
        <a:solidFill>
          <a:schemeClr val="lt1"/>
        </a:solidFill>
        <a:round/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16.xml><?xml version="1.0" encoding="utf-8"?>
<cs:chartStyle xmlns:cs="http://schemas.microsoft.com/office/drawing/2012/chartStyle" xmlns:a="http://schemas.openxmlformats.org/drawingml/2006/main" id="294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/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dk1">
            <a:lumMod val="50000"/>
            <a:lumOff val="5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dk1">
            <a:lumMod val="60000"/>
            <a:lumOff val="40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/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17.xml><?xml version="1.0" encoding="utf-8"?>
<cs:chartStyle xmlns:cs="http://schemas.microsoft.com/office/drawing/2012/chartStyle" xmlns:a="http://schemas.openxmlformats.org/drawingml/2006/main" id="34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18.xml><?xml version="1.0" encoding="utf-8"?>
<cs:chartStyle xmlns:cs="http://schemas.microsoft.com/office/drawing/2012/chartStyle" xmlns:a="http://schemas.openxmlformats.org/drawingml/2006/main" id="34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19.xml><?xml version="1.0" encoding="utf-8"?>
<cs:chartStyle xmlns:cs="http://schemas.microsoft.com/office/drawing/2012/chartStyle" xmlns:a="http://schemas.openxmlformats.org/drawingml/2006/main" id="34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20.xml><?xml version="1.0" encoding="utf-8"?>
<cs:chartStyle xmlns:cs="http://schemas.microsoft.com/office/drawing/2012/chartStyle" xmlns:a="http://schemas.openxmlformats.org/drawingml/2006/main" id="34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21.xml><?xml version="1.0" encoding="utf-8"?>
<cs:chartStyle xmlns:cs="http://schemas.microsoft.com/office/drawing/2012/chartStyle" xmlns:a="http://schemas.openxmlformats.org/drawingml/2006/main" id="34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22.xml><?xml version="1.0" encoding="utf-8"?>
<cs:chartStyle xmlns:cs="http://schemas.microsoft.com/office/drawing/2012/chartStyle" xmlns:a="http://schemas.openxmlformats.org/drawingml/2006/main" id="34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23.xml><?xml version="1.0" encoding="utf-8"?>
<cs:chartStyle xmlns:cs="http://schemas.microsoft.com/office/drawing/2012/chartStyle" xmlns:a="http://schemas.openxmlformats.org/drawingml/2006/main" id="34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24.xml><?xml version="1.0" encoding="utf-8"?>
<cs:chartStyle xmlns:cs="http://schemas.microsoft.com/office/drawing/2012/chartStyle" xmlns:a="http://schemas.openxmlformats.org/drawingml/2006/main" id="34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25.xml><?xml version="1.0" encoding="utf-8"?>
<cs:chartStyle xmlns:cs="http://schemas.microsoft.com/office/drawing/2012/chartStyle" xmlns:a="http://schemas.openxmlformats.org/drawingml/2006/main" id="34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26.xml><?xml version="1.0" encoding="utf-8"?>
<cs:chartStyle xmlns:cs="http://schemas.microsoft.com/office/drawing/2012/chartStyle" xmlns:a="http://schemas.openxmlformats.org/drawingml/2006/main" id="34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27.xml><?xml version="1.0" encoding="utf-8"?>
<cs:chartStyle xmlns:cs="http://schemas.microsoft.com/office/drawing/2012/chartStyle" xmlns:a="http://schemas.openxmlformats.org/drawingml/2006/main" id="34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28.xml><?xml version="1.0" encoding="utf-8"?>
<cs:chartStyle xmlns:cs="http://schemas.microsoft.com/office/drawing/2012/chartStyle" xmlns:a="http://schemas.openxmlformats.org/drawingml/2006/main" id="34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chart" Target="../charts/chart1.xml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.png"/><Relationship Id="rId3" Type="http://schemas.openxmlformats.org/officeDocument/2006/relationships/image" Target="../media/image23.png"/><Relationship Id="rId7" Type="http://schemas.openxmlformats.org/officeDocument/2006/relationships/image" Target="../media/image27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6" Type="http://schemas.openxmlformats.org/officeDocument/2006/relationships/image" Target="../media/image26.png"/><Relationship Id="rId5" Type="http://schemas.openxmlformats.org/officeDocument/2006/relationships/image" Target="../media/image25.png"/><Relationship Id="rId4" Type="http://schemas.openxmlformats.org/officeDocument/2006/relationships/image" Target="../media/image24.png"/><Relationship Id="rId9" Type="http://schemas.openxmlformats.org/officeDocument/2006/relationships/chart" Target="../charts/chart2.xml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.png"/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3" Type="http://schemas.openxmlformats.org/officeDocument/2006/relationships/image" Target="../media/image31.png"/><Relationship Id="rId21" Type="http://schemas.openxmlformats.org/officeDocument/2006/relationships/image" Target="../media/image49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jpeg"/><Relationship Id="rId2" Type="http://schemas.openxmlformats.org/officeDocument/2006/relationships/image" Target="../media/image30.pn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1" Type="http://schemas.openxmlformats.org/officeDocument/2006/relationships/image" Target="../media/image29.png"/><Relationship Id="rId6" Type="http://schemas.openxmlformats.org/officeDocument/2006/relationships/image" Target="../media/image34.jpeg"/><Relationship Id="rId11" Type="http://schemas.openxmlformats.org/officeDocument/2006/relationships/image" Target="../media/image39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23" Type="http://schemas.openxmlformats.org/officeDocument/2006/relationships/chart" Target="../charts/chart3.xml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Relationship Id="rId22" Type="http://schemas.openxmlformats.org/officeDocument/2006/relationships/image" Target="../media/image50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2.png"/><Relationship Id="rId1" Type="http://schemas.openxmlformats.org/officeDocument/2006/relationships/image" Target="../media/image51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.xml"/><Relationship Id="rId1" Type="http://schemas.openxmlformats.org/officeDocument/2006/relationships/image" Target="../media/image52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chart" Target="../charts/chart5.xml"/><Relationship Id="rId1" Type="http://schemas.openxmlformats.org/officeDocument/2006/relationships/image" Target="../media/image53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chart" Target="../charts/chart6.xml"/><Relationship Id="rId1" Type="http://schemas.openxmlformats.org/officeDocument/2006/relationships/image" Target="../media/image54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chart" Target="../charts/chart8.xml"/><Relationship Id="rId2" Type="http://schemas.openxmlformats.org/officeDocument/2006/relationships/image" Target="../media/image55.png"/><Relationship Id="rId1" Type="http://schemas.openxmlformats.org/officeDocument/2006/relationships/chart" Target="../charts/chart7.xml"/><Relationship Id="rId4" Type="http://schemas.openxmlformats.org/officeDocument/2006/relationships/chart" Target="../charts/chart9.xml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2.xml"/><Relationship Id="rId2" Type="http://schemas.openxmlformats.org/officeDocument/2006/relationships/chart" Target="../charts/chart11.xml"/><Relationship Id="rId1" Type="http://schemas.openxmlformats.org/officeDocument/2006/relationships/chart" Target="../charts/chart10.xml"/><Relationship Id="rId6" Type="http://schemas.openxmlformats.org/officeDocument/2006/relationships/chart" Target="../charts/chart15.xml"/><Relationship Id="rId5" Type="http://schemas.openxmlformats.org/officeDocument/2006/relationships/chart" Target="../charts/chart14.xml"/><Relationship Id="rId4" Type="http://schemas.openxmlformats.org/officeDocument/2006/relationships/chart" Target="../charts/chart13.xml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chart" Target="../charts/chart23.xml"/><Relationship Id="rId13" Type="http://schemas.openxmlformats.org/officeDocument/2006/relationships/chart" Target="../charts/chart28.xml"/><Relationship Id="rId3" Type="http://schemas.openxmlformats.org/officeDocument/2006/relationships/chart" Target="../charts/chart18.xml"/><Relationship Id="rId7" Type="http://schemas.openxmlformats.org/officeDocument/2006/relationships/chart" Target="../charts/chart22.xml"/><Relationship Id="rId12" Type="http://schemas.openxmlformats.org/officeDocument/2006/relationships/chart" Target="../charts/chart27.xml"/><Relationship Id="rId2" Type="http://schemas.openxmlformats.org/officeDocument/2006/relationships/chart" Target="../charts/chart17.xml"/><Relationship Id="rId1" Type="http://schemas.openxmlformats.org/officeDocument/2006/relationships/chart" Target="../charts/chart16.xml"/><Relationship Id="rId6" Type="http://schemas.openxmlformats.org/officeDocument/2006/relationships/chart" Target="../charts/chart21.xml"/><Relationship Id="rId11" Type="http://schemas.openxmlformats.org/officeDocument/2006/relationships/chart" Target="../charts/chart26.xml"/><Relationship Id="rId5" Type="http://schemas.openxmlformats.org/officeDocument/2006/relationships/chart" Target="../charts/chart20.xml"/><Relationship Id="rId10" Type="http://schemas.openxmlformats.org/officeDocument/2006/relationships/chart" Target="../charts/chart25.xml"/><Relationship Id="rId4" Type="http://schemas.openxmlformats.org/officeDocument/2006/relationships/chart" Target="../charts/chart19.xml"/><Relationship Id="rId9" Type="http://schemas.openxmlformats.org/officeDocument/2006/relationships/chart" Target="../charts/chart24.xml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80962</xdr:colOff>
      <xdr:row>3</xdr:row>
      <xdr:rowOff>23814</xdr:rowOff>
    </xdr:from>
    <xdr:to>
      <xdr:col>7</xdr:col>
      <xdr:colOff>1390650</xdr:colOff>
      <xdr:row>3</xdr:row>
      <xdr:rowOff>885826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1671085-FBA1-4583-A376-D8765F904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81987" y="566739"/>
          <a:ext cx="1309688" cy="862012"/>
        </a:xfrm>
        <a:prstGeom prst="rect">
          <a:avLst/>
        </a:prstGeom>
      </xdr:spPr>
    </xdr:pic>
    <xdr:clientData/>
  </xdr:twoCellAnchor>
  <xdr:twoCellAnchor editAs="oneCell">
    <xdr:from>
      <xdr:col>7</xdr:col>
      <xdr:colOff>85724</xdr:colOff>
      <xdr:row>4</xdr:row>
      <xdr:rowOff>19050</xdr:rowOff>
    </xdr:from>
    <xdr:to>
      <xdr:col>7</xdr:col>
      <xdr:colOff>1385888</xdr:colOff>
      <xdr:row>4</xdr:row>
      <xdr:rowOff>881061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3F1BDEE-9009-45D4-9083-84516C451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86749" y="1471613"/>
          <a:ext cx="1300164" cy="862011"/>
        </a:xfrm>
        <a:prstGeom prst="rect">
          <a:avLst/>
        </a:prstGeom>
      </xdr:spPr>
    </xdr:pic>
    <xdr:clientData/>
  </xdr:twoCellAnchor>
  <xdr:twoCellAnchor editAs="oneCell">
    <xdr:from>
      <xdr:col>7</xdr:col>
      <xdr:colOff>90489</xdr:colOff>
      <xdr:row>5</xdr:row>
      <xdr:rowOff>19050</xdr:rowOff>
    </xdr:from>
    <xdr:to>
      <xdr:col>7</xdr:col>
      <xdr:colOff>1388714</xdr:colOff>
      <xdr:row>5</xdr:row>
      <xdr:rowOff>871537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A4EEBB7-51BC-4E52-A4CB-2CE8D2FA3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1514" y="2381250"/>
          <a:ext cx="1298225" cy="852487"/>
        </a:xfrm>
        <a:prstGeom prst="rect">
          <a:avLst/>
        </a:prstGeom>
      </xdr:spPr>
    </xdr:pic>
    <xdr:clientData/>
  </xdr:twoCellAnchor>
  <xdr:twoCellAnchor editAs="oneCell">
    <xdr:from>
      <xdr:col>7</xdr:col>
      <xdr:colOff>85725</xdr:colOff>
      <xdr:row>6</xdr:row>
      <xdr:rowOff>33337</xdr:rowOff>
    </xdr:from>
    <xdr:to>
      <xdr:col>7</xdr:col>
      <xdr:colOff>1390650</xdr:colOff>
      <xdr:row>6</xdr:row>
      <xdr:rowOff>890586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2CFDDCDF-DF36-4DB4-8E69-35CF9844C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86750" y="3305175"/>
          <a:ext cx="1304925" cy="857249"/>
        </a:xfrm>
        <a:prstGeom prst="rect">
          <a:avLst/>
        </a:prstGeom>
      </xdr:spPr>
    </xdr:pic>
    <xdr:clientData/>
  </xdr:twoCellAnchor>
  <xdr:twoCellAnchor editAs="oneCell">
    <xdr:from>
      <xdr:col>7</xdr:col>
      <xdr:colOff>80962</xdr:colOff>
      <xdr:row>7</xdr:row>
      <xdr:rowOff>28575</xdr:rowOff>
    </xdr:from>
    <xdr:to>
      <xdr:col>7</xdr:col>
      <xdr:colOff>1385887</xdr:colOff>
      <xdr:row>7</xdr:row>
      <xdr:rowOff>885824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B5086387-1A2A-4013-82C5-6AAA7628E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81987" y="4210050"/>
          <a:ext cx="1304925" cy="857249"/>
        </a:xfrm>
        <a:prstGeom prst="rect">
          <a:avLst/>
        </a:prstGeom>
      </xdr:spPr>
    </xdr:pic>
    <xdr:clientData/>
  </xdr:twoCellAnchor>
  <xdr:twoCellAnchor editAs="oneCell">
    <xdr:from>
      <xdr:col>7</xdr:col>
      <xdr:colOff>80963</xdr:colOff>
      <xdr:row>8</xdr:row>
      <xdr:rowOff>38099</xdr:rowOff>
    </xdr:from>
    <xdr:to>
      <xdr:col>7</xdr:col>
      <xdr:colOff>1366838</xdr:colOff>
      <xdr:row>8</xdr:row>
      <xdr:rowOff>876300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3E6FC9FC-F47E-4311-A761-ABD478370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81988" y="5129212"/>
          <a:ext cx="1285875" cy="838201"/>
        </a:xfrm>
        <a:prstGeom prst="rect">
          <a:avLst/>
        </a:prstGeom>
      </xdr:spPr>
    </xdr:pic>
    <xdr:clientData/>
  </xdr:twoCellAnchor>
  <xdr:twoCellAnchor editAs="oneCell">
    <xdr:from>
      <xdr:col>7</xdr:col>
      <xdr:colOff>71437</xdr:colOff>
      <xdr:row>9</xdr:row>
      <xdr:rowOff>19049</xdr:rowOff>
    </xdr:from>
    <xdr:to>
      <xdr:col>7</xdr:col>
      <xdr:colOff>1366838</xdr:colOff>
      <xdr:row>9</xdr:row>
      <xdr:rowOff>885824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331E731F-6FBC-4ED9-9E47-99B961DA9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2462" y="6019799"/>
          <a:ext cx="1295401" cy="866775"/>
        </a:xfrm>
        <a:prstGeom prst="rect">
          <a:avLst/>
        </a:prstGeom>
      </xdr:spPr>
    </xdr:pic>
    <xdr:clientData/>
  </xdr:twoCellAnchor>
  <xdr:twoCellAnchor editAs="oneCell">
    <xdr:from>
      <xdr:col>7</xdr:col>
      <xdr:colOff>61914</xdr:colOff>
      <xdr:row>10</xdr:row>
      <xdr:rowOff>33338</xdr:rowOff>
    </xdr:from>
    <xdr:to>
      <xdr:col>7</xdr:col>
      <xdr:colOff>1371600</xdr:colOff>
      <xdr:row>10</xdr:row>
      <xdr:rowOff>876300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758AA8A5-C411-4DCA-A6BA-0CECB9CC7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2939" y="6943726"/>
          <a:ext cx="1309686" cy="842962"/>
        </a:xfrm>
        <a:prstGeom prst="rect">
          <a:avLst/>
        </a:prstGeom>
      </xdr:spPr>
    </xdr:pic>
    <xdr:clientData/>
  </xdr:twoCellAnchor>
  <xdr:twoCellAnchor editAs="oneCell">
    <xdr:from>
      <xdr:col>7</xdr:col>
      <xdr:colOff>66675</xdr:colOff>
      <xdr:row>11</xdr:row>
      <xdr:rowOff>38099</xdr:rowOff>
    </xdr:from>
    <xdr:to>
      <xdr:col>7</xdr:col>
      <xdr:colOff>1362075</xdr:colOff>
      <xdr:row>11</xdr:row>
      <xdr:rowOff>876300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525562DF-A987-496A-B3C4-CE82F5B1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7700" y="7858124"/>
          <a:ext cx="1295400" cy="838201"/>
        </a:xfrm>
        <a:prstGeom prst="rect">
          <a:avLst/>
        </a:prstGeom>
      </xdr:spPr>
    </xdr:pic>
    <xdr:clientData/>
  </xdr:twoCellAnchor>
  <xdr:twoCellAnchor editAs="oneCell">
    <xdr:from>
      <xdr:col>7</xdr:col>
      <xdr:colOff>71438</xdr:colOff>
      <xdr:row>12</xdr:row>
      <xdr:rowOff>38100</xdr:rowOff>
    </xdr:from>
    <xdr:to>
      <xdr:col>7</xdr:col>
      <xdr:colOff>1362075</xdr:colOff>
      <xdr:row>12</xdr:row>
      <xdr:rowOff>881062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15AC6710-55AF-4F21-852B-75763E487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2463" y="8767763"/>
          <a:ext cx="1290637" cy="842962"/>
        </a:xfrm>
        <a:prstGeom prst="rect">
          <a:avLst/>
        </a:prstGeom>
      </xdr:spPr>
    </xdr:pic>
    <xdr:clientData/>
  </xdr:twoCellAnchor>
  <xdr:twoCellAnchor editAs="oneCell">
    <xdr:from>
      <xdr:col>7</xdr:col>
      <xdr:colOff>71436</xdr:colOff>
      <xdr:row>13</xdr:row>
      <xdr:rowOff>28576</xdr:rowOff>
    </xdr:from>
    <xdr:to>
      <xdr:col>7</xdr:col>
      <xdr:colOff>1357312</xdr:colOff>
      <xdr:row>13</xdr:row>
      <xdr:rowOff>881063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C59073A3-1214-4FB2-BFC3-36EA42B83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2461" y="9667876"/>
          <a:ext cx="1285876" cy="852487"/>
        </a:xfrm>
        <a:prstGeom prst="rect">
          <a:avLst/>
        </a:prstGeom>
      </xdr:spPr>
    </xdr:pic>
    <xdr:clientData/>
  </xdr:twoCellAnchor>
  <xdr:twoCellAnchor editAs="oneCell">
    <xdr:from>
      <xdr:col>7</xdr:col>
      <xdr:colOff>61914</xdr:colOff>
      <xdr:row>14</xdr:row>
      <xdr:rowOff>28576</xdr:rowOff>
    </xdr:from>
    <xdr:to>
      <xdr:col>7</xdr:col>
      <xdr:colOff>1371602</xdr:colOff>
      <xdr:row>14</xdr:row>
      <xdr:rowOff>850983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30106075-3859-4E0C-ABF9-E4C97B65B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2939" y="10577514"/>
          <a:ext cx="1309688" cy="822407"/>
        </a:xfrm>
        <a:prstGeom prst="rect">
          <a:avLst/>
        </a:prstGeom>
      </xdr:spPr>
    </xdr:pic>
    <xdr:clientData/>
  </xdr:twoCellAnchor>
  <xdr:twoCellAnchor editAs="oneCell">
    <xdr:from>
      <xdr:col>7</xdr:col>
      <xdr:colOff>52387</xdr:colOff>
      <xdr:row>15</xdr:row>
      <xdr:rowOff>19051</xdr:rowOff>
    </xdr:from>
    <xdr:to>
      <xdr:col>7</xdr:col>
      <xdr:colOff>1376363</xdr:colOff>
      <xdr:row>15</xdr:row>
      <xdr:rowOff>881063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1804ABB8-3E96-49F0-8877-178CF4BEA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3412" y="11477626"/>
          <a:ext cx="1323976" cy="862012"/>
        </a:xfrm>
        <a:prstGeom prst="rect">
          <a:avLst/>
        </a:prstGeom>
      </xdr:spPr>
    </xdr:pic>
    <xdr:clientData/>
  </xdr:twoCellAnchor>
  <xdr:twoCellAnchor editAs="oneCell">
    <xdr:from>
      <xdr:col>7</xdr:col>
      <xdr:colOff>42864</xdr:colOff>
      <xdr:row>16</xdr:row>
      <xdr:rowOff>19050</xdr:rowOff>
    </xdr:from>
    <xdr:to>
      <xdr:col>7</xdr:col>
      <xdr:colOff>1371601</xdr:colOff>
      <xdr:row>16</xdr:row>
      <xdr:rowOff>876300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790B2199-F2D9-4114-BD27-F195DD697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43889" y="12387263"/>
          <a:ext cx="1328737" cy="857250"/>
        </a:xfrm>
        <a:prstGeom prst="rect">
          <a:avLst/>
        </a:prstGeom>
      </xdr:spPr>
    </xdr:pic>
    <xdr:clientData/>
  </xdr:twoCellAnchor>
  <xdr:twoCellAnchor editAs="oneCell">
    <xdr:from>
      <xdr:col>7</xdr:col>
      <xdr:colOff>52388</xdr:colOff>
      <xdr:row>17</xdr:row>
      <xdr:rowOff>28576</xdr:rowOff>
    </xdr:from>
    <xdr:to>
      <xdr:col>7</xdr:col>
      <xdr:colOff>1362076</xdr:colOff>
      <xdr:row>17</xdr:row>
      <xdr:rowOff>885826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251B0C57-34EB-4150-ACD6-78F2944C4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3413" y="13306426"/>
          <a:ext cx="1309688" cy="857250"/>
        </a:xfrm>
        <a:prstGeom prst="rect">
          <a:avLst/>
        </a:prstGeom>
      </xdr:spPr>
    </xdr:pic>
    <xdr:clientData/>
  </xdr:twoCellAnchor>
  <xdr:twoCellAnchor editAs="oneCell">
    <xdr:from>
      <xdr:col>7</xdr:col>
      <xdr:colOff>42864</xdr:colOff>
      <xdr:row>18</xdr:row>
      <xdr:rowOff>33337</xdr:rowOff>
    </xdr:from>
    <xdr:to>
      <xdr:col>7</xdr:col>
      <xdr:colOff>1357313</xdr:colOff>
      <xdr:row>18</xdr:row>
      <xdr:rowOff>871537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84AF7F38-EF3F-4F7C-9F2D-ED5FD62FA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43889" y="14220825"/>
          <a:ext cx="1314449" cy="838200"/>
        </a:xfrm>
        <a:prstGeom prst="rect">
          <a:avLst/>
        </a:prstGeom>
      </xdr:spPr>
    </xdr:pic>
    <xdr:clientData/>
  </xdr:twoCellAnchor>
  <xdr:twoCellAnchor editAs="oneCell">
    <xdr:from>
      <xdr:col>7</xdr:col>
      <xdr:colOff>42863</xdr:colOff>
      <xdr:row>19</xdr:row>
      <xdr:rowOff>33338</xdr:rowOff>
    </xdr:from>
    <xdr:to>
      <xdr:col>7</xdr:col>
      <xdr:colOff>1358865</xdr:colOff>
      <xdr:row>19</xdr:row>
      <xdr:rowOff>890588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99A3025-3F7A-4606-8197-7414D25F9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43888" y="15130463"/>
          <a:ext cx="1316002" cy="857250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</xdr:colOff>
      <xdr:row>20</xdr:row>
      <xdr:rowOff>19050</xdr:rowOff>
    </xdr:from>
    <xdr:to>
      <xdr:col>7</xdr:col>
      <xdr:colOff>1357313</xdr:colOff>
      <xdr:row>20</xdr:row>
      <xdr:rowOff>890587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1B1BF660-CDB4-4C3D-ADA5-10CBA3D61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39125" y="16025813"/>
          <a:ext cx="1319213" cy="871537"/>
        </a:xfrm>
        <a:prstGeom prst="rect">
          <a:avLst/>
        </a:prstGeom>
      </xdr:spPr>
    </xdr:pic>
    <xdr:clientData/>
  </xdr:twoCellAnchor>
  <xdr:twoCellAnchor editAs="oneCell">
    <xdr:from>
      <xdr:col>7</xdr:col>
      <xdr:colOff>33337</xdr:colOff>
      <xdr:row>21</xdr:row>
      <xdr:rowOff>23812</xdr:rowOff>
    </xdr:from>
    <xdr:to>
      <xdr:col>7</xdr:col>
      <xdr:colOff>1352550</xdr:colOff>
      <xdr:row>21</xdr:row>
      <xdr:rowOff>881062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5E5F3389-371D-42C7-961B-A8E28BF40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34362" y="16940212"/>
          <a:ext cx="1319213" cy="857250"/>
        </a:xfrm>
        <a:prstGeom prst="rect">
          <a:avLst/>
        </a:prstGeom>
      </xdr:spPr>
    </xdr:pic>
    <xdr:clientData/>
  </xdr:twoCellAnchor>
  <xdr:twoCellAnchor editAs="oneCell">
    <xdr:from>
      <xdr:col>7</xdr:col>
      <xdr:colOff>28575</xdr:colOff>
      <xdr:row>22</xdr:row>
      <xdr:rowOff>23812</xdr:rowOff>
    </xdr:from>
    <xdr:to>
      <xdr:col>7</xdr:col>
      <xdr:colOff>1352550</xdr:colOff>
      <xdr:row>22</xdr:row>
      <xdr:rowOff>881062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9D12CCD3-C347-48BC-B74A-437DF7CE7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9600" y="17849850"/>
          <a:ext cx="1323975" cy="85725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</xdr:row>
      <xdr:rowOff>80962</xdr:rowOff>
    </xdr:from>
    <xdr:to>
      <xdr:col>3</xdr:col>
      <xdr:colOff>490538</xdr:colOff>
      <xdr:row>30</xdr:row>
      <xdr:rowOff>80962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4EEAFDDD-F398-4C61-B5C6-9DC033E6A5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025" y="21178837"/>
          <a:ext cx="1895476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192880</xdr:colOff>
      <xdr:row>29</xdr:row>
      <xdr:rowOff>2381</xdr:rowOff>
    </xdr:from>
    <xdr:to>
      <xdr:col>10</xdr:col>
      <xdr:colOff>564355</xdr:colOff>
      <xdr:row>44</xdr:row>
      <xdr:rowOff>30956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D1F133CD-F6BF-409A-8C19-524090010559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52388</xdr:colOff>
      <xdr:row>3</xdr:row>
      <xdr:rowOff>28576</xdr:rowOff>
    </xdr:from>
    <xdr:to>
      <xdr:col>7</xdr:col>
      <xdr:colOff>1388210</xdr:colOff>
      <xdr:row>3</xdr:row>
      <xdr:rowOff>1038226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4CCDABF-2FCB-4DC5-9B7A-BCF4BE59A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3413" y="571501"/>
          <a:ext cx="1335822" cy="1009650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4</xdr:row>
      <xdr:rowOff>42863</xdr:rowOff>
    </xdr:from>
    <xdr:to>
      <xdr:col>7</xdr:col>
      <xdr:colOff>1381125</xdr:colOff>
      <xdr:row>4</xdr:row>
      <xdr:rowOff>1033462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5E409E6-171F-4FEB-824C-B4D1173C9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8175" y="1662113"/>
          <a:ext cx="1323975" cy="990599"/>
        </a:xfrm>
        <a:prstGeom prst="rect">
          <a:avLst/>
        </a:prstGeom>
      </xdr:spPr>
    </xdr:pic>
    <xdr:clientData/>
  </xdr:twoCellAnchor>
  <xdr:twoCellAnchor editAs="oneCell">
    <xdr:from>
      <xdr:col>7</xdr:col>
      <xdr:colOff>52388</xdr:colOff>
      <xdr:row>5</xdr:row>
      <xdr:rowOff>33337</xdr:rowOff>
    </xdr:from>
    <xdr:to>
      <xdr:col>7</xdr:col>
      <xdr:colOff>1376364</xdr:colOff>
      <xdr:row>5</xdr:row>
      <xdr:rowOff>1033462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DA53153-7895-4340-82C2-BB370B0A3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3413" y="2728912"/>
          <a:ext cx="1323976" cy="1000125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6</xdr:row>
      <xdr:rowOff>14287</xdr:rowOff>
    </xdr:from>
    <xdr:to>
      <xdr:col>7</xdr:col>
      <xdr:colOff>1371600</xdr:colOff>
      <xdr:row>6</xdr:row>
      <xdr:rowOff>1047750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34E626AE-17F2-41FD-9F2F-5C9582245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8175" y="3786187"/>
          <a:ext cx="1314450" cy="1033463"/>
        </a:xfrm>
        <a:prstGeom prst="rect">
          <a:avLst/>
        </a:prstGeom>
      </xdr:spPr>
    </xdr:pic>
    <xdr:clientData/>
  </xdr:twoCellAnchor>
  <xdr:twoCellAnchor editAs="oneCell">
    <xdr:from>
      <xdr:col>7</xdr:col>
      <xdr:colOff>52388</xdr:colOff>
      <xdr:row>7</xdr:row>
      <xdr:rowOff>19050</xdr:rowOff>
    </xdr:from>
    <xdr:to>
      <xdr:col>7</xdr:col>
      <xdr:colOff>1362076</xdr:colOff>
      <xdr:row>7</xdr:row>
      <xdr:rowOff>1038225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EEF53CAC-78A9-4B2F-A6FD-C7E530130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3413" y="4867275"/>
          <a:ext cx="1309688" cy="1019175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</xdr:colOff>
      <xdr:row>8</xdr:row>
      <xdr:rowOff>42863</xdr:rowOff>
    </xdr:from>
    <xdr:to>
      <xdr:col>7</xdr:col>
      <xdr:colOff>1366838</xdr:colOff>
      <xdr:row>8</xdr:row>
      <xdr:rowOff>1033463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CD650879-5062-4986-A60C-A7EE7C32A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48650" y="5967413"/>
          <a:ext cx="1319213" cy="990600"/>
        </a:xfrm>
        <a:prstGeom prst="rect">
          <a:avLst/>
        </a:prstGeom>
      </xdr:spPr>
    </xdr:pic>
    <xdr:clientData/>
  </xdr:twoCellAnchor>
  <xdr:twoCellAnchor editAs="oneCell">
    <xdr:from>
      <xdr:col>7</xdr:col>
      <xdr:colOff>52388</xdr:colOff>
      <xdr:row>9</xdr:row>
      <xdr:rowOff>38100</xdr:rowOff>
    </xdr:from>
    <xdr:to>
      <xdr:col>7</xdr:col>
      <xdr:colOff>1376363</xdr:colOff>
      <xdr:row>9</xdr:row>
      <xdr:rowOff>1023937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43E5D905-D09F-492B-BB84-0A7869A88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3413" y="7038975"/>
          <a:ext cx="1323975" cy="985837"/>
        </a:xfrm>
        <a:prstGeom prst="rect">
          <a:avLst/>
        </a:prstGeom>
      </xdr:spPr>
    </xdr:pic>
    <xdr:clientData/>
  </xdr:twoCellAnchor>
  <xdr:twoCellAnchor>
    <xdr:from>
      <xdr:col>1</xdr:col>
      <xdr:colOff>276225</xdr:colOff>
      <xdr:row>13</xdr:row>
      <xdr:rowOff>161925</xdr:rowOff>
    </xdr:from>
    <xdr:to>
      <xdr:col>4</xdr:col>
      <xdr:colOff>223838</xdr:colOff>
      <xdr:row>15</xdr:row>
      <xdr:rowOff>161925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6C4192B0-536F-4374-BCE6-25A838E6E9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925" y="9677400"/>
          <a:ext cx="2400301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907255</xdr:colOff>
      <xdr:row>12</xdr:row>
      <xdr:rowOff>140493</xdr:rowOff>
    </xdr:from>
    <xdr:to>
      <xdr:col>8</xdr:col>
      <xdr:colOff>569118</xdr:colOff>
      <xdr:row>27</xdr:row>
      <xdr:rowOff>169068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1D2E30DD-7B9A-460D-B904-3B203D85CCE6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19051</xdr:colOff>
      <xdr:row>3</xdr:row>
      <xdr:rowOff>19050</xdr:rowOff>
    </xdr:from>
    <xdr:to>
      <xdr:col>7</xdr:col>
      <xdr:colOff>1419225</xdr:colOff>
      <xdr:row>3</xdr:row>
      <xdr:rowOff>1052513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53B81E2C-123D-4B3C-9539-03E71222E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0076" y="561975"/>
          <a:ext cx="1400174" cy="1033463"/>
        </a:xfrm>
        <a:prstGeom prst="rect">
          <a:avLst/>
        </a:prstGeom>
      </xdr:spPr>
    </xdr:pic>
    <xdr:clientData/>
  </xdr:twoCellAnchor>
  <xdr:twoCellAnchor editAs="oneCell">
    <xdr:from>
      <xdr:col>7</xdr:col>
      <xdr:colOff>28575</xdr:colOff>
      <xdr:row>4</xdr:row>
      <xdr:rowOff>33338</xdr:rowOff>
    </xdr:from>
    <xdr:to>
      <xdr:col>7</xdr:col>
      <xdr:colOff>1395412</xdr:colOff>
      <xdr:row>4</xdr:row>
      <xdr:rowOff>1034429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DBBEB771-85EC-4795-9DCF-CB961FB4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9600" y="1652588"/>
          <a:ext cx="1366837" cy="1001091"/>
        </a:xfrm>
        <a:prstGeom prst="rect">
          <a:avLst/>
        </a:prstGeom>
      </xdr:spPr>
    </xdr:pic>
    <xdr:clientData/>
  </xdr:twoCellAnchor>
  <xdr:twoCellAnchor editAs="oneCell">
    <xdr:from>
      <xdr:col>7</xdr:col>
      <xdr:colOff>33338</xdr:colOff>
      <xdr:row>5</xdr:row>
      <xdr:rowOff>38101</xdr:rowOff>
    </xdr:from>
    <xdr:to>
      <xdr:col>7</xdr:col>
      <xdr:colOff>1385888</xdr:colOff>
      <xdr:row>5</xdr:row>
      <xdr:rowOff>1042989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1282580C-592E-4246-A243-E5D2564D9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34363" y="2733676"/>
          <a:ext cx="1352550" cy="1004888"/>
        </a:xfrm>
        <a:prstGeom prst="rect">
          <a:avLst/>
        </a:prstGeom>
      </xdr:spPr>
    </xdr:pic>
    <xdr:clientData/>
  </xdr:twoCellAnchor>
  <xdr:twoCellAnchor editAs="oneCell">
    <xdr:from>
      <xdr:col>7</xdr:col>
      <xdr:colOff>33338</xdr:colOff>
      <xdr:row>6</xdr:row>
      <xdr:rowOff>33337</xdr:rowOff>
    </xdr:from>
    <xdr:to>
      <xdr:col>7</xdr:col>
      <xdr:colOff>1395413</xdr:colOff>
      <xdr:row>6</xdr:row>
      <xdr:rowOff>1043288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3A7AA0AA-E51E-46C1-A0A2-AA1E77AD5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34363" y="3805237"/>
          <a:ext cx="1362075" cy="1009951"/>
        </a:xfrm>
        <a:prstGeom prst="rect">
          <a:avLst/>
        </a:prstGeom>
      </xdr:spPr>
    </xdr:pic>
    <xdr:clientData/>
  </xdr:twoCellAnchor>
  <xdr:twoCellAnchor editAs="oneCell">
    <xdr:from>
      <xdr:col>7</xdr:col>
      <xdr:colOff>23813</xdr:colOff>
      <xdr:row>7</xdr:row>
      <xdr:rowOff>33338</xdr:rowOff>
    </xdr:from>
    <xdr:to>
      <xdr:col>7</xdr:col>
      <xdr:colOff>1390651</xdr:colOff>
      <xdr:row>7</xdr:row>
      <xdr:rowOff>1023937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B26CEC00-56AB-41D4-84BE-77BEDFC75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4838" y="4881563"/>
          <a:ext cx="1366838" cy="990599"/>
        </a:xfrm>
        <a:prstGeom prst="rect">
          <a:avLst/>
        </a:prstGeom>
      </xdr:spPr>
    </xdr:pic>
    <xdr:clientData/>
  </xdr:twoCellAnchor>
  <xdr:twoCellAnchor editAs="oneCell">
    <xdr:from>
      <xdr:col>7</xdr:col>
      <xdr:colOff>33337</xdr:colOff>
      <xdr:row>8</xdr:row>
      <xdr:rowOff>38103</xdr:rowOff>
    </xdr:from>
    <xdr:to>
      <xdr:col>7</xdr:col>
      <xdr:colOff>1400174</xdr:colOff>
      <xdr:row>8</xdr:row>
      <xdr:rowOff>1028702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662CA696-A3B5-4AAC-A375-9CCA1A030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422481" y="5774534"/>
          <a:ext cx="990599" cy="1366837"/>
        </a:xfrm>
        <a:prstGeom prst="rect">
          <a:avLst/>
        </a:prstGeom>
      </xdr:spPr>
    </xdr:pic>
    <xdr:clientData/>
  </xdr:twoCellAnchor>
  <xdr:twoCellAnchor editAs="oneCell">
    <xdr:from>
      <xdr:col>7</xdr:col>
      <xdr:colOff>53661</xdr:colOff>
      <xdr:row>9</xdr:row>
      <xdr:rowOff>40245</xdr:rowOff>
    </xdr:from>
    <xdr:to>
      <xdr:col>7</xdr:col>
      <xdr:colOff>1361671</xdr:colOff>
      <xdr:row>9</xdr:row>
      <xdr:rowOff>1046408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FF281EB-0E6C-48D4-A734-54538DBEB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257236" y="7023010"/>
          <a:ext cx="1308010" cy="1006163"/>
        </a:xfrm>
        <a:prstGeom prst="rect">
          <a:avLst/>
        </a:prstGeom>
      </xdr:spPr>
    </xdr:pic>
    <xdr:clientData/>
  </xdr:twoCellAnchor>
  <xdr:twoCellAnchor editAs="oneCell">
    <xdr:from>
      <xdr:col>7</xdr:col>
      <xdr:colOff>46952</xdr:colOff>
      <xdr:row>10</xdr:row>
      <xdr:rowOff>46955</xdr:rowOff>
    </xdr:from>
    <xdr:to>
      <xdr:col>7</xdr:col>
      <xdr:colOff>1361671</xdr:colOff>
      <xdr:row>10</xdr:row>
      <xdr:rowOff>1039701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BB734B5C-0733-489C-A17A-594BAB540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250527" y="8102959"/>
          <a:ext cx="1314719" cy="992746"/>
        </a:xfrm>
        <a:prstGeom prst="rect">
          <a:avLst/>
        </a:prstGeom>
      </xdr:spPr>
    </xdr:pic>
    <xdr:clientData/>
  </xdr:twoCellAnchor>
  <xdr:twoCellAnchor editAs="oneCell">
    <xdr:from>
      <xdr:col>7</xdr:col>
      <xdr:colOff>73784</xdr:colOff>
      <xdr:row>11</xdr:row>
      <xdr:rowOff>53661</xdr:rowOff>
    </xdr:from>
    <xdr:to>
      <xdr:col>7</xdr:col>
      <xdr:colOff>1341548</xdr:colOff>
      <xdr:row>11</xdr:row>
      <xdr:rowOff>1026284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A9460F28-C935-4CC5-A9A5-236BC1E7A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277359" y="9182905"/>
          <a:ext cx="1267764" cy="972623"/>
        </a:xfrm>
        <a:prstGeom prst="rect">
          <a:avLst/>
        </a:prstGeom>
      </xdr:spPr>
    </xdr:pic>
    <xdr:clientData/>
  </xdr:twoCellAnchor>
  <xdr:twoCellAnchor editAs="oneCell">
    <xdr:from>
      <xdr:col>7</xdr:col>
      <xdr:colOff>60369</xdr:colOff>
      <xdr:row>12</xdr:row>
      <xdr:rowOff>67077</xdr:rowOff>
    </xdr:from>
    <xdr:to>
      <xdr:col>7</xdr:col>
      <xdr:colOff>1328133</xdr:colOff>
      <xdr:row>12</xdr:row>
      <xdr:rowOff>1046408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667F5D06-0678-4790-B2AB-B2D2EC1B6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263944" y="10269560"/>
          <a:ext cx="1267764" cy="979331"/>
        </a:xfrm>
        <a:prstGeom prst="rect">
          <a:avLst/>
        </a:prstGeom>
      </xdr:spPr>
    </xdr:pic>
    <xdr:clientData/>
  </xdr:twoCellAnchor>
  <xdr:twoCellAnchor editAs="oneCell">
    <xdr:from>
      <xdr:col>7</xdr:col>
      <xdr:colOff>69221</xdr:colOff>
      <xdr:row>13</xdr:row>
      <xdr:rowOff>53660</xdr:rowOff>
    </xdr:from>
    <xdr:to>
      <xdr:col>7</xdr:col>
      <xdr:colOff>1341549</xdr:colOff>
      <xdr:row>13</xdr:row>
      <xdr:rowOff>1032992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A5327D7D-0A0C-4EB4-99D1-C2FEC1F54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272796" y="11329383"/>
          <a:ext cx="1272328" cy="979332"/>
        </a:xfrm>
        <a:prstGeom prst="rect">
          <a:avLst/>
        </a:prstGeom>
      </xdr:spPr>
    </xdr:pic>
    <xdr:clientData/>
  </xdr:twoCellAnchor>
  <xdr:twoCellAnchor editAs="oneCell">
    <xdr:from>
      <xdr:col>7</xdr:col>
      <xdr:colOff>53660</xdr:colOff>
      <xdr:row>14</xdr:row>
      <xdr:rowOff>46954</xdr:rowOff>
    </xdr:from>
    <xdr:to>
      <xdr:col>7</xdr:col>
      <xdr:colOff>1368379</xdr:colOff>
      <xdr:row>14</xdr:row>
      <xdr:rowOff>1053115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DCFF3D15-BA11-4511-B65D-A7E949882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257235" y="12395916"/>
          <a:ext cx="1314719" cy="1006161"/>
        </a:xfrm>
        <a:prstGeom prst="rect">
          <a:avLst/>
        </a:prstGeom>
      </xdr:spPr>
    </xdr:pic>
    <xdr:clientData/>
  </xdr:twoCellAnchor>
  <xdr:twoCellAnchor editAs="oneCell">
    <xdr:from>
      <xdr:col>7</xdr:col>
      <xdr:colOff>42181</xdr:colOff>
      <xdr:row>15</xdr:row>
      <xdr:rowOff>47625</xdr:rowOff>
    </xdr:from>
    <xdr:to>
      <xdr:col>7</xdr:col>
      <xdr:colOff>1385888</xdr:colOff>
      <xdr:row>15</xdr:row>
      <xdr:rowOff>1042988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8B363348-09C6-4E28-8C67-925F595C3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243206" y="13506450"/>
          <a:ext cx="1343707" cy="995363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16</xdr:row>
      <xdr:rowOff>38101</xdr:rowOff>
    </xdr:from>
    <xdr:to>
      <xdr:col>7</xdr:col>
      <xdr:colOff>1376363</xdr:colOff>
      <xdr:row>16</xdr:row>
      <xdr:rowOff>1042989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8833AF6B-BDAA-44F6-A36A-0B670E512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258175" y="14573251"/>
          <a:ext cx="1319213" cy="1004888"/>
        </a:xfrm>
        <a:prstGeom prst="rect">
          <a:avLst/>
        </a:prstGeom>
      </xdr:spPr>
    </xdr:pic>
    <xdr:clientData/>
  </xdr:twoCellAnchor>
  <xdr:twoCellAnchor editAs="oneCell">
    <xdr:from>
      <xdr:col>7</xdr:col>
      <xdr:colOff>66675</xdr:colOff>
      <xdr:row>17</xdr:row>
      <xdr:rowOff>38100</xdr:rowOff>
    </xdr:from>
    <xdr:to>
      <xdr:col>7</xdr:col>
      <xdr:colOff>1366838</xdr:colOff>
      <xdr:row>17</xdr:row>
      <xdr:rowOff>1033463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77A7D7D-A2B7-4171-BFA2-7FB25128A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267700" y="15649575"/>
          <a:ext cx="1300163" cy="995363"/>
        </a:xfrm>
        <a:prstGeom prst="rect">
          <a:avLst/>
        </a:prstGeom>
      </xdr:spPr>
    </xdr:pic>
    <xdr:clientData/>
  </xdr:twoCellAnchor>
  <xdr:twoCellAnchor editAs="oneCell">
    <xdr:from>
      <xdr:col>7</xdr:col>
      <xdr:colOff>71437</xdr:colOff>
      <xdr:row>18</xdr:row>
      <xdr:rowOff>48090</xdr:rowOff>
    </xdr:from>
    <xdr:to>
      <xdr:col>7</xdr:col>
      <xdr:colOff>1374614</xdr:colOff>
      <xdr:row>18</xdr:row>
      <xdr:rowOff>1057275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8999AF48-053E-491C-A6FD-5390F02CA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272462" y="16735890"/>
          <a:ext cx="1303177" cy="1009185"/>
        </a:xfrm>
        <a:prstGeom prst="rect">
          <a:avLst/>
        </a:prstGeom>
      </xdr:spPr>
    </xdr:pic>
    <xdr:clientData/>
  </xdr:twoCellAnchor>
  <xdr:twoCellAnchor editAs="oneCell">
    <xdr:from>
      <xdr:col>7</xdr:col>
      <xdr:colOff>85725</xdr:colOff>
      <xdr:row>19</xdr:row>
      <xdr:rowOff>66676</xdr:rowOff>
    </xdr:from>
    <xdr:to>
      <xdr:col>7</xdr:col>
      <xdr:colOff>1395413</xdr:colOff>
      <xdr:row>19</xdr:row>
      <xdr:rowOff>1038226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7E7825F9-4372-4F6F-B303-B80593AF6DA7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86750" y="17830801"/>
          <a:ext cx="1309688" cy="971550"/>
        </a:xfrm>
        <a:prstGeom prst="rect">
          <a:avLst/>
        </a:prstGeom>
      </xdr:spPr>
    </xdr:pic>
    <xdr:clientData/>
  </xdr:twoCellAnchor>
  <xdr:twoCellAnchor editAs="oneCell">
    <xdr:from>
      <xdr:col>7</xdr:col>
      <xdr:colOff>79769</xdr:colOff>
      <xdr:row>20</xdr:row>
      <xdr:rowOff>57150</xdr:rowOff>
    </xdr:from>
    <xdr:to>
      <xdr:col>7</xdr:col>
      <xdr:colOff>1400174</xdr:colOff>
      <xdr:row>20</xdr:row>
      <xdr:rowOff>1042988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CD03095D-485A-442C-A7AA-D223B3E53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280794" y="18897600"/>
          <a:ext cx="1320405" cy="985838"/>
        </a:xfrm>
        <a:prstGeom prst="rect">
          <a:avLst/>
        </a:prstGeom>
      </xdr:spPr>
    </xdr:pic>
    <xdr:clientData/>
  </xdr:twoCellAnchor>
  <xdr:twoCellAnchor editAs="oneCell">
    <xdr:from>
      <xdr:col>7</xdr:col>
      <xdr:colOff>71499</xdr:colOff>
      <xdr:row>21</xdr:row>
      <xdr:rowOff>23813</xdr:rowOff>
    </xdr:from>
    <xdr:to>
      <xdr:col>7</xdr:col>
      <xdr:colOff>1376363</xdr:colOff>
      <xdr:row>21</xdr:row>
      <xdr:rowOff>1057275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B78A0A-034A-4C90-A0D6-B6ABA1B10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272524" y="19940588"/>
          <a:ext cx="1304864" cy="1033462"/>
        </a:xfrm>
        <a:prstGeom prst="rect">
          <a:avLst/>
        </a:prstGeom>
      </xdr:spPr>
    </xdr:pic>
    <xdr:clientData/>
  </xdr:twoCellAnchor>
  <xdr:twoCellAnchor editAs="oneCell">
    <xdr:from>
      <xdr:col>7</xdr:col>
      <xdr:colOff>65628</xdr:colOff>
      <xdr:row>22</xdr:row>
      <xdr:rowOff>38099</xdr:rowOff>
    </xdr:from>
    <xdr:to>
      <xdr:col>7</xdr:col>
      <xdr:colOff>1381125</xdr:colOff>
      <xdr:row>22</xdr:row>
      <xdr:rowOff>1028700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9EFF30FB-50EF-44D5-954D-65F057B2C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266653" y="21031199"/>
          <a:ext cx="1315497" cy="990601"/>
        </a:xfrm>
        <a:prstGeom prst="rect">
          <a:avLst/>
        </a:prstGeom>
      </xdr:spPr>
    </xdr:pic>
    <xdr:clientData/>
  </xdr:twoCellAnchor>
  <xdr:twoCellAnchor editAs="oneCell">
    <xdr:from>
      <xdr:col>7</xdr:col>
      <xdr:colOff>80011</xdr:colOff>
      <xdr:row>23</xdr:row>
      <xdr:rowOff>38101</xdr:rowOff>
    </xdr:from>
    <xdr:to>
      <xdr:col>7</xdr:col>
      <xdr:colOff>1389011</xdr:colOff>
      <xdr:row>23</xdr:row>
      <xdr:rowOff>1023938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E1B39386-EDA8-4960-911E-C55778247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281036" y="22107526"/>
          <a:ext cx="1309000" cy="985837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</xdr:row>
      <xdr:rowOff>0</xdr:rowOff>
    </xdr:from>
    <xdr:to>
      <xdr:col>4</xdr:col>
      <xdr:colOff>204788</xdr:colOff>
      <xdr:row>31</xdr:row>
      <xdr:rowOff>9525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EB2F38CB-4901-43CE-AAEC-9465087DF6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025" y="25126950"/>
          <a:ext cx="234315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1307305</xdr:colOff>
      <xdr:row>32</xdr:row>
      <xdr:rowOff>130968</xdr:rowOff>
    </xdr:from>
    <xdr:to>
      <xdr:col>8</xdr:col>
      <xdr:colOff>716755</xdr:colOff>
      <xdr:row>47</xdr:row>
      <xdr:rowOff>159543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8B5D4259-A65B-46A3-8338-C81A5A2252E6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3"/>
        </a:graphicData>
      </a:graphic>
    </xdr:graphicFrame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19047</xdr:colOff>
      <xdr:row>3</xdr:row>
      <xdr:rowOff>28575</xdr:rowOff>
    </xdr:from>
    <xdr:to>
      <xdr:col>7</xdr:col>
      <xdr:colOff>1419222</xdr:colOff>
      <xdr:row>3</xdr:row>
      <xdr:rowOff>1028700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FEA5A54C-70B1-4BE3-A4F5-C5AD887B3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420097" y="371475"/>
          <a:ext cx="1000125" cy="1400175"/>
        </a:xfrm>
        <a:prstGeom prst="rect">
          <a:avLst/>
        </a:prstGeom>
      </xdr:spPr>
    </xdr:pic>
    <xdr:clientData/>
  </xdr:twoCellAnchor>
  <xdr:twoCellAnchor editAs="oneCell">
    <xdr:from>
      <xdr:col>7</xdr:col>
      <xdr:colOff>28575</xdr:colOff>
      <xdr:row>4</xdr:row>
      <xdr:rowOff>23812</xdr:rowOff>
    </xdr:from>
    <xdr:to>
      <xdr:col>7</xdr:col>
      <xdr:colOff>1428750</xdr:colOff>
      <xdr:row>4</xdr:row>
      <xdr:rowOff>1023937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5142DE8-E059-4BCB-BFFC-D92EA6DEC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429625" y="1443037"/>
          <a:ext cx="1000125" cy="1400175"/>
        </a:xfrm>
        <a:prstGeom prst="rect">
          <a:avLst/>
        </a:prstGeom>
      </xdr:spPr>
    </xdr:pic>
    <xdr:clientData/>
  </xdr:twoCellAnchor>
  <xdr:twoCellAnchor editAs="oneCell">
    <xdr:from>
      <xdr:col>7</xdr:col>
      <xdr:colOff>23813</xdr:colOff>
      <xdr:row>5</xdr:row>
      <xdr:rowOff>28575</xdr:rowOff>
    </xdr:from>
    <xdr:to>
      <xdr:col>7</xdr:col>
      <xdr:colOff>1423988</xdr:colOff>
      <xdr:row>5</xdr:row>
      <xdr:rowOff>1028700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63B78F2-8FBF-4D8A-88BF-8CB11DD10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424863" y="2524125"/>
          <a:ext cx="1000125" cy="1400175"/>
        </a:xfrm>
        <a:prstGeom prst="rect">
          <a:avLst/>
        </a:prstGeom>
      </xdr:spPr>
    </xdr:pic>
    <xdr:clientData/>
  </xdr:twoCellAnchor>
  <xdr:twoCellAnchor>
    <xdr:from>
      <xdr:col>1</xdr:col>
      <xdr:colOff>300037</xdr:colOff>
      <xdr:row>19</xdr:row>
      <xdr:rowOff>152400</xdr:rowOff>
    </xdr:from>
    <xdr:to>
      <xdr:col>4</xdr:col>
      <xdr:colOff>200025</xdr:colOff>
      <xdr:row>21</xdr:row>
      <xdr:rowOff>152400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FFCCA5E-7CB8-4541-940C-DFAA82774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7737" y="24917400"/>
          <a:ext cx="2352676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90487</xdr:colOff>
      <xdr:row>24</xdr:row>
      <xdr:rowOff>152400</xdr:rowOff>
    </xdr:from>
    <xdr:to>
      <xdr:col>4</xdr:col>
      <xdr:colOff>161925</xdr:colOff>
      <xdr:row>26</xdr:row>
      <xdr:rowOff>152400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A876444-64CD-4B71-9BBA-8B8FEC5AD9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2512" y="20612100"/>
          <a:ext cx="2543176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1212055</xdr:colOff>
      <xdr:row>42</xdr:row>
      <xdr:rowOff>130967</xdr:rowOff>
    </xdr:from>
    <xdr:to>
      <xdr:col>12</xdr:col>
      <xdr:colOff>288130</xdr:colOff>
      <xdr:row>57</xdr:row>
      <xdr:rowOff>159542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5612B0D2-0920-4C16-A149-4559709E6A4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309563</xdr:colOff>
      <xdr:row>43</xdr:row>
      <xdr:rowOff>161925</xdr:rowOff>
    </xdr:from>
    <xdr:to>
      <xdr:col>3</xdr:col>
      <xdr:colOff>800101</xdr:colOff>
      <xdr:row>45</xdr:row>
      <xdr:rowOff>161925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EDC6A86-6824-4114-B7E4-A66257DB2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7263" y="15573375"/>
          <a:ext cx="2519363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238125</xdr:colOff>
      <xdr:row>7</xdr:row>
      <xdr:rowOff>176212</xdr:rowOff>
    </xdr:from>
    <xdr:to>
      <xdr:col>18</xdr:col>
      <xdr:colOff>323850</xdr:colOff>
      <xdr:row>19</xdr:row>
      <xdr:rowOff>185737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ACF4891E-DC31-49F5-A4E6-7AEB5456A18D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51</xdr:row>
      <xdr:rowOff>104553</xdr:rowOff>
    </xdr:from>
    <xdr:to>
      <xdr:col>9</xdr:col>
      <xdr:colOff>300037</xdr:colOff>
      <xdr:row>81</xdr:row>
      <xdr:rowOff>12436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F2F0E0A-08FA-4BDB-83DD-06212AF8F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62539" y="7191153"/>
          <a:ext cx="6686549" cy="5337133"/>
        </a:xfrm>
        <a:prstGeom prst="rect">
          <a:avLst/>
        </a:prstGeom>
      </xdr:spPr>
    </xdr:pic>
    <xdr:clientData/>
  </xdr:twoCellAnchor>
  <xdr:twoCellAnchor>
    <xdr:from>
      <xdr:col>14</xdr:col>
      <xdr:colOff>569119</xdr:colOff>
      <xdr:row>15</xdr:row>
      <xdr:rowOff>2380</xdr:rowOff>
    </xdr:from>
    <xdr:to>
      <xdr:col>20</xdr:col>
      <xdr:colOff>204788</xdr:colOff>
      <xdr:row>26</xdr:row>
      <xdr:rowOff>52387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B36472D1-B50C-4FBF-9D1C-C14672D90741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619123</xdr:colOff>
      <xdr:row>2</xdr:row>
      <xdr:rowOff>4762</xdr:rowOff>
    </xdr:from>
    <xdr:to>
      <xdr:col>16</xdr:col>
      <xdr:colOff>9523</xdr:colOff>
      <xdr:row>19</xdr:row>
      <xdr:rowOff>38100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56775EC9-C1DC-4584-8BD9-673A8D5FA77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9</xdr:col>
      <xdr:colOff>328613</xdr:colOff>
      <xdr:row>19</xdr:row>
      <xdr:rowOff>33338</xdr:rowOff>
    </xdr:from>
    <xdr:to>
      <xdr:col>15</xdr:col>
      <xdr:colOff>319088</xdr:colOff>
      <xdr:row>20</xdr:row>
      <xdr:rowOff>42863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3B3EE07-298B-44C4-9815-F2E1583E1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1413" y="3471863"/>
          <a:ext cx="387667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14288</xdr:colOff>
      <xdr:row>93</xdr:row>
      <xdr:rowOff>178592</xdr:rowOff>
    </xdr:from>
    <xdr:to>
      <xdr:col>14</xdr:col>
      <xdr:colOff>271462</xdr:colOff>
      <xdr:row>110</xdr:row>
      <xdr:rowOff>23813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DB09E253-C9B7-4F1E-9723-44382F19183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7</xdr:col>
      <xdr:colOff>2380</xdr:colOff>
      <xdr:row>112</xdr:row>
      <xdr:rowOff>26192</xdr:rowOff>
    </xdr:from>
    <xdr:to>
      <xdr:col>14</xdr:col>
      <xdr:colOff>304800</xdr:colOff>
      <xdr:row>130</xdr:row>
      <xdr:rowOff>4761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96A85076-4FFC-4C97-882E-2610D3C31FE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27</xdr:col>
      <xdr:colOff>369093</xdr:colOff>
      <xdr:row>3</xdr:row>
      <xdr:rowOff>16668</xdr:rowOff>
    </xdr:from>
    <xdr:to>
      <xdr:col>34</xdr:col>
      <xdr:colOff>407193</xdr:colOff>
      <xdr:row>18</xdr:row>
      <xdr:rowOff>26193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576055D5-D70C-48B2-89E0-6C7D617C306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27</xdr:col>
      <xdr:colOff>407193</xdr:colOff>
      <xdr:row>19</xdr:row>
      <xdr:rowOff>126205</xdr:rowOff>
    </xdr:from>
    <xdr:to>
      <xdr:col>34</xdr:col>
      <xdr:colOff>445293</xdr:colOff>
      <xdr:row>34</xdr:row>
      <xdr:rowOff>154780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435CB424-F50B-4A2B-B00A-E12267E1030D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24</xdr:col>
      <xdr:colOff>452437</xdr:colOff>
      <xdr:row>38</xdr:row>
      <xdr:rowOff>114301</xdr:rowOff>
    </xdr:from>
    <xdr:to>
      <xdr:col>32</xdr:col>
      <xdr:colOff>614362</xdr:colOff>
      <xdr:row>56</xdr:row>
      <xdr:rowOff>9525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07E0540C-98F2-4A02-8033-D72DFC42B0F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27</xdr:col>
      <xdr:colOff>66673</xdr:colOff>
      <xdr:row>62</xdr:row>
      <xdr:rowOff>66675</xdr:rowOff>
    </xdr:from>
    <xdr:to>
      <xdr:col>35</xdr:col>
      <xdr:colOff>414336</xdr:colOff>
      <xdr:row>80</xdr:row>
      <xdr:rowOff>45242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AC17890E-F180-4A8E-9F70-0BF42182D3C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49</xdr:col>
      <xdr:colOff>433388</xdr:colOff>
      <xdr:row>34</xdr:row>
      <xdr:rowOff>159543</xdr:rowOff>
    </xdr:from>
    <xdr:to>
      <xdr:col>57</xdr:col>
      <xdr:colOff>614362</xdr:colOff>
      <xdr:row>53</xdr:row>
      <xdr:rowOff>19050</xdr:rowOff>
    </xdr:to>
    <xdr:graphicFrame macro="">
      <xdr:nvGraphicFramePr>
        <xdr:cNvPr id="8" name="Chart 7">
          <a:extLst>
            <a:ext uri="{FF2B5EF4-FFF2-40B4-BE49-F238E27FC236}">
              <a16:creationId xmlns:a16="http://schemas.microsoft.com/office/drawing/2014/main" id="{3AB411C4-E79D-4210-BA22-863574B16B59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65</xdr:col>
      <xdr:colOff>438156</xdr:colOff>
      <xdr:row>29</xdr:row>
      <xdr:rowOff>119062</xdr:rowOff>
    </xdr:from>
    <xdr:to>
      <xdr:col>74</xdr:col>
      <xdr:colOff>154786</xdr:colOff>
      <xdr:row>47</xdr:row>
      <xdr:rowOff>50005</xdr:rowOff>
    </xdr:to>
    <xdr:graphicFrame macro="">
      <xdr:nvGraphicFramePr>
        <xdr:cNvPr id="9" name="Chart 8">
          <a:extLst>
            <a:ext uri="{FF2B5EF4-FFF2-40B4-BE49-F238E27FC236}">
              <a16:creationId xmlns:a16="http://schemas.microsoft.com/office/drawing/2014/main" id="{E2340358-E9F6-4FB0-91AF-B6487826086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521492</xdr:colOff>
      <xdr:row>33</xdr:row>
      <xdr:rowOff>173828</xdr:rowOff>
    </xdr:from>
    <xdr:to>
      <xdr:col>12</xdr:col>
      <xdr:colOff>395287</xdr:colOff>
      <xdr:row>58</xdr:row>
      <xdr:rowOff>4763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9B218A0D-2D9B-4D0A-A29F-59DE3E96113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102393</xdr:colOff>
      <xdr:row>11</xdr:row>
      <xdr:rowOff>138113</xdr:rowOff>
    </xdr:from>
    <xdr:to>
      <xdr:col>6</xdr:col>
      <xdr:colOff>542925</xdr:colOff>
      <xdr:row>21</xdr:row>
      <xdr:rowOff>42863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2708E592-99A2-4C4A-8357-BC0630814921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9</xdr:col>
      <xdr:colOff>97631</xdr:colOff>
      <xdr:row>11</xdr:row>
      <xdr:rowOff>173830</xdr:rowOff>
    </xdr:from>
    <xdr:to>
      <xdr:col>12</xdr:col>
      <xdr:colOff>533400</xdr:colOff>
      <xdr:row>21</xdr:row>
      <xdr:rowOff>61913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31915ABC-6094-4AD0-B155-3BBA29C1F0C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15</xdr:col>
      <xdr:colOff>95250</xdr:colOff>
      <xdr:row>11</xdr:row>
      <xdr:rowOff>176213</xdr:rowOff>
    </xdr:from>
    <xdr:to>
      <xdr:col>18</xdr:col>
      <xdr:colOff>514349</xdr:colOff>
      <xdr:row>21</xdr:row>
      <xdr:rowOff>61912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CFCB07CE-A716-44BC-9C61-99361BA9DA6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21</xdr:col>
      <xdr:colOff>95250</xdr:colOff>
      <xdr:row>11</xdr:row>
      <xdr:rowOff>166687</xdr:rowOff>
    </xdr:from>
    <xdr:to>
      <xdr:col>24</xdr:col>
      <xdr:colOff>481013</xdr:colOff>
      <xdr:row>21</xdr:row>
      <xdr:rowOff>33336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764C668F-789B-4DD4-8421-26F407DFD51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15</xdr:col>
      <xdr:colOff>133349</xdr:colOff>
      <xdr:row>40</xdr:row>
      <xdr:rowOff>157162</xdr:rowOff>
    </xdr:from>
    <xdr:to>
      <xdr:col>18</xdr:col>
      <xdr:colOff>547687</xdr:colOff>
      <xdr:row>50</xdr:row>
      <xdr:rowOff>23813</xdr:rowOff>
    </xdr:to>
    <xdr:graphicFrame macro="">
      <xdr:nvGraphicFramePr>
        <xdr:cNvPr id="7" name="Chart 6">
          <a:extLst>
            <a:ext uri="{FF2B5EF4-FFF2-40B4-BE49-F238E27FC236}">
              <a16:creationId xmlns:a16="http://schemas.microsoft.com/office/drawing/2014/main" id="{A89385C0-898C-4512-8603-62EC78617BD4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21</xdr:col>
      <xdr:colOff>133350</xdr:colOff>
      <xdr:row>40</xdr:row>
      <xdr:rowOff>138113</xdr:rowOff>
    </xdr:from>
    <xdr:to>
      <xdr:col>24</xdr:col>
      <xdr:colOff>533400</xdr:colOff>
      <xdr:row>50</xdr:row>
      <xdr:rowOff>38101</xdr:rowOff>
    </xdr:to>
    <xdr:graphicFrame macro="">
      <xdr:nvGraphicFramePr>
        <xdr:cNvPr id="8" name="Chart 7">
          <a:extLst>
            <a:ext uri="{FF2B5EF4-FFF2-40B4-BE49-F238E27FC236}">
              <a16:creationId xmlns:a16="http://schemas.microsoft.com/office/drawing/2014/main" id="{95138C53-B4BC-4709-A7AA-EA8481E18AB3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3</xdr:col>
      <xdr:colOff>102393</xdr:colOff>
      <xdr:row>67</xdr:row>
      <xdr:rowOff>116681</xdr:rowOff>
    </xdr:from>
    <xdr:to>
      <xdr:col>6</xdr:col>
      <xdr:colOff>538163</xdr:colOff>
      <xdr:row>77</xdr:row>
      <xdr:rowOff>71438</xdr:rowOff>
    </xdr:to>
    <xdr:graphicFrame macro="">
      <xdr:nvGraphicFramePr>
        <xdr:cNvPr id="9" name="Chart 8">
          <a:extLst>
            <a:ext uri="{FF2B5EF4-FFF2-40B4-BE49-F238E27FC236}">
              <a16:creationId xmlns:a16="http://schemas.microsoft.com/office/drawing/2014/main" id="{2E12932C-886D-40FF-AA55-301DB28E9FAD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9</xdr:col>
      <xdr:colOff>85725</xdr:colOff>
      <xdr:row>67</xdr:row>
      <xdr:rowOff>95250</xdr:rowOff>
    </xdr:from>
    <xdr:to>
      <xdr:col>12</xdr:col>
      <xdr:colOff>571500</xdr:colOff>
      <xdr:row>77</xdr:row>
      <xdr:rowOff>47625</xdr:rowOff>
    </xdr:to>
    <xdr:graphicFrame macro="">
      <xdr:nvGraphicFramePr>
        <xdr:cNvPr id="10" name="Chart 9">
          <a:extLst>
            <a:ext uri="{FF2B5EF4-FFF2-40B4-BE49-F238E27FC236}">
              <a16:creationId xmlns:a16="http://schemas.microsoft.com/office/drawing/2014/main" id="{EC006BA0-B0C8-4980-87AC-7703B37117F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15</xdr:col>
      <xdr:colOff>59531</xdr:colOff>
      <xdr:row>67</xdr:row>
      <xdr:rowOff>135730</xdr:rowOff>
    </xdr:from>
    <xdr:to>
      <xdr:col>18</xdr:col>
      <xdr:colOff>609600</xdr:colOff>
      <xdr:row>77</xdr:row>
      <xdr:rowOff>52388</xdr:rowOff>
    </xdr:to>
    <xdr:graphicFrame macro="">
      <xdr:nvGraphicFramePr>
        <xdr:cNvPr id="11" name="Chart 10">
          <a:extLst>
            <a:ext uri="{FF2B5EF4-FFF2-40B4-BE49-F238E27FC236}">
              <a16:creationId xmlns:a16="http://schemas.microsoft.com/office/drawing/2014/main" id="{F7B6C092-DDD4-437B-A708-33A0D5C1D8ED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21</xdr:col>
      <xdr:colOff>61912</xdr:colOff>
      <xdr:row>67</xdr:row>
      <xdr:rowOff>142875</xdr:rowOff>
    </xdr:from>
    <xdr:to>
      <xdr:col>24</xdr:col>
      <xdr:colOff>585788</xdr:colOff>
      <xdr:row>77</xdr:row>
      <xdr:rowOff>33338</xdr:rowOff>
    </xdr:to>
    <xdr:graphicFrame macro="">
      <xdr:nvGraphicFramePr>
        <xdr:cNvPr id="12" name="Chart 11">
          <a:extLst>
            <a:ext uri="{FF2B5EF4-FFF2-40B4-BE49-F238E27FC236}">
              <a16:creationId xmlns:a16="http://schemas.microsoft.com/office/drawing/2014/main" id="{F11F5C30-E6B7-41F5-9225-D972D7661FB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3</xdr:col>
      <xdr:colOff>73818</xdr:colOff>
      <xdr:row>96</xdr:row>
      <xdr:rowOff>135730</xdr:rowOff>
    </xdr:from>
    <xdr:to>
      <xdr:col>6</xdr:col>
      <xdr:colOff>557213</xdr:colOff>
      <xdr:row>105</xdr:row>
      <xdr:rowOff>61913</xdr:rowOff>
    </xdr:to>
    <xdr:graphicFrame macro="">
      <xdr:nvGraphicFramePr>
        <xdr:cNvPr id="13" name="Chart 12">
          <a:extLst>
            <a:ext uri="{FF2B5EF4-FFF2-40B4-BE49-F238E27FC236}">
              <a16:creationId xmlns:a16="http://schemas.microsoft.com/office/drawing/2014/main" id="{54786658-F020-415E-AF13-0ED8A32801C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9</xdr:col>
      <xdr:colOff>64293</xdr:colOff>
      <xdr:row>96</xdr:row>
      <xdr:rowOff>130968</xdr:rowOff>
    </xdr:from>
    <xdr:to>
      <xdr:col>12</xdr:col>
      <xdr:colOff>585788</xdr:colOff>
      <xdr:row>105</xdr:row>
      <xdr:rowOff>47625</xdr:rowOff>
    </xdr:to>
    <xdr:graphicFrame macro="">
      <xdr:nvGraphicFramePr>
        <xdr:cNvPr id="14" name="Chart 13">
          <a:extLst>
            <a:ext uri="{FF2B5EF4-FFF2-40B4-BE49-F238E27FC236}">
              <a16:creationId xmlns:a16="http://schemas.microsoft.com/office/drawing/2014/main" id="{DE8A49D1-0C3F-4FC3-9CA6-C9EC9746B309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471488</xdr:colOff>
      <xdr:row>3</xdr:row>
      <xdr:rowOff>176212</xdr:rowOff>
    </xdr:from>
    <xdr:to>
      <xdr:col>18</xdr:col>
      <xdr:colOff>488633</xdr:colOff>
      <xdr:row>27</xdr:row>
      <xdr:rowOff>127317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D8880C4-06D0-4F73-9442-41FA88DDBF03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38" y="719137"/>
          <a:ext cx="5198745" cy="616140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globalsolaratlas.info/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F62436-95E8-4A74-9A06-99D20B40E596}">
  <sheetPr codeName="Sheet3"/>
  <dimension ref="B3:T48"/>
  <sheetViews>
    <sheetView topLeftCell="J6" workbookViewId="0">
      <selection activeCell="V27" sqref="V27"/>
    </sheetView>
  </sheetViews>
  <sheetFormatPr defaultRowHeight="14.25"/>
  <cols>
    <col min="1" max="7" width="9.06640625" style="3"/>
    <col min="8" max="8" width="12" style="3" customWidth="1"/>
    <col min="9" max="9" width="9.06640625" style="3"/>
    <col min="10" max="12" width="15.46484375" style="3" customWidth="1"/>
    <col min="13" max="13" width="17.46484375" style="3" customWidth="1"/>
    <col min="14" max="14" width="15.73046875" style="3" customWidth="1"/>
    <col min="15" max="15" width="13.265625" style="3" customWidth="1"/>
    <col min="16" max="16" width="14.46484375" style="3" customWidth="1"/>
    <col min="17" max="17" width="14.86328125" style="3" customWidth="1"/>
    <col min="18" max="18" width="16.1328125" style="3" customWidth="1"/>
    <col min="19" max="19" width="14.46484375" style="3" customWidth="1"/>
    <col min="20" max="20" width="13.73046875" style="3" customWidth="1"/>
    <col min="21" max="16384" width="9.06640625" style="3"/>
  </cols>
  <sheetData>
    <row r="3" spans="2:20">
      <c r="B3" s="175" t="s">
        <v>7</v>
      </c>
      <c r="C3" s="166" t="s">
        <v>8</v>
      </c>
      <c r="D3" s="167"/>
      <c r="E3" s="167"/>
      <c r="F3" s="167"/>
      <c r="G3" s="168"/>
      <c r="H3" s="175" t="s">
        <v>9</v>
      </c>
      <c r="I3" s="178" t="s">
        <v>10</v>
      </c>
      <c r="J3" s="166" t="s">
        <v>64</v>
      </c>
      <c r="K3" s="167"/>
      <c r="L3" s="167"/>
      <c r="M3" s="167"/>
      <c r="N3" s="167"/>
      <c r="O3" s="167"/>
      <c r="P3" s="167"/>
      <c r="Q3" s="167"/>
      <c r="R3" s="167"/>
      <c r="S3" s="168"/>
      <c r="T3" s="175" t="s">
        <v>65</v>
      </c>
    </row>
    <row r="4" spans="2:20">
      <c r="B4" s="176"/>
      <c r="C4" s="169"/>
      <c r="D4" s="170"/>
      <c r="E4" s="170"/>
      <c r="F4" s="170"/>
      <c r="G4" s="171"/>
      <c r="H4" s="176"/>
      <c r="I4" s="179"/>
      <c r="J4" s="175" t="s">
        <v>0</v>
      </c>
      <c r="K4" s="178" t="s">
        <v>67</v>
      </c>
      <c r="L4" s="178" t="s">
        <v>68</v>
      </c>
      <c r="M4" s="178" t="s">
        <v>1</v>
      </c>
      <c r="N4" s="184" t="s">
        <v>71</v>
      </c>
      <c r="O4" s="178" t="s">
        <v>3</v>
      </c>
      <c r="P4" s="184" t="s">
        <v>4</v>
      </c>
      <c r="Q4" s="178" t="s">
        <v>5</v>
      </c>
      <c r="R4" s="178" t="s">
        <v>6</v>
      </c>
      <c r="S4" s="178" t="s">
        <v>84</v>
      </c>
      <c r="T4" s="176"/>
    </row>
    <row r="5" spans="2:20">
      <c r="B5" s="177"/>
      <c r="C5" s="172"/>
      <c r="D5" s="173"/>
      <c r="E5" s="173"/>
      <c r="F5" s="173"/>
      <c r="G5" s="174"/>
      <c r="H5" s="177"/>
      <c r="I5" s="180"/>
      <c r="J5" s="177"/>
      <c r="K5" s="180"/>
      <c r="L5" s="180"/>
      <c r="M5" s="180"/>
      <c r="N5" s="185"/>
      <c r="O5" s="180"/>
      <c r="P5" s="185"/>
      <c r="Q5" s="180"/>
      <c r="R5" s="180"/>
      <c r="S5" s="180"/>
      <c r="T5" s="177"/>
    </row>
    <row r="6" spans="2:20">
      <c r="B6" s="17">
        <v>1</v>
      </c>
      <c r="C6" s="14" t="s">
        <v>12</v>
      </c>
      <c r="D6" s="15"/>
      <c r="E6" s="15"/>
      <c r="F6" s="15"/>
      <c r="G6" s="16"/>
      <c r="H6" s="17"/>
      <c r="I6" s="17"/>
      <c r="J6" s="13" t="s">
        <v>13</v>
      </c>
      <c r="K6" s="13" t="s">
        <v>13</v>
      </c>
      <c r="L6" s="13" t="s">
        <v>13</v>
      </c>
      <c r="M6" s="17" t="s">
        <v>13</v>
      </c>
      <c r="N6" s="17" t="s">
        <v>13</v>
      </c>
      <c r="O6" s="17" t="s">
        <v>13</v>
      </c>
      <c r="P6" s="17" t="s">
        <v>13</v>
      </c>
      <c r="Q6" s="17" t="s">
        <v>13</v>
      </c>
      <c r="R6" s="17" t="s">
        <v>13</v>
      </c>
      <c r="S6" s="17" t="s">
        <v>13</v>
      </c>
      <c r="T6" s="29" t="s">
        <v>13</v>
      </c>
    </row>
    <row r="7" spans="2:20">
      <c r="B7" s="17">
        <v>2</v>
      </c>
      <c r="C7" s="14" t="s">
        <v>14</v>
      </c>
      <c r="D7" s="15"/>
      <c r="E7" s="15"/>
      <c r="F7" s="15"/>
      <c r="G7" s="16"/>
      <c r="H7" s="17"/>
      <c r="I7" s="17"/>
      <c r="J7" s="13" t="s">
        <v>15</v>
      </c>
      <c r="K7" s="13" t="s">
        <v>16</v>
      </c>
      <c r="L7" s="13" t="s">
        <v>16</v>
      </c>
      <c r="M7" s="17" t="s">
        <v>15</v>
      </c>
      <c r="N7" s="17" t="s">
        <v>15</v>
      </c>
      <c r="O7" s="17" t="s">
        <v>15</v>
      </c>
      <c r="P7" s="17" t="s">
        <v>15</v>
      </c>
      <c r="Q7" s="17" t="s">
        <v>15</v>
      </c>
      <c r="R7" s="17" t="s">
        <v>15</v>
      </c>
      <c r="S7" s="17" t="s">
        <v>15</v>
      </c>
      <c r="T7" s="29" t="s">
        <v>15</v>
      </c>
    </row>
    <row r="8" spans="2:20">
      <c r="B8" s="17"/>
      <c r="C8" s="14"/>
      <c r="D8" s="15"/>
      <c r="E8" s="15"/>
      <c r="F8" s="15"/>
      <c r="G8" s="16"/>
      <c r="H8" s="17"/>
      <c r="I8" s="17"/>
      <c r="J8" s="17"/>
      <c r="K8" s="17"/>
      <c r="L8" s="17"/>
      <c r="M8" s="17"/>
      <c r="N8" s="17"/>
      <c r="O8" s="17"/>
      <c r="P8" s="17"/>
      <c r="Q8" s="17"/>
      <c r="R8" s="17"/>
      <c r="S8" s="17"/>
      <c r="T8" s="17"/>
    </row>
    <row r="9" spans="2:20">
      <c r="B9" s="18"/>
      <c r="C9" s="181" t="s">
        <v>17</v>
      </c>
      <c r="D9" s="181"/>
      <c r="E9" s="181"/>
      <c r="F9" s="181"/>
      <c r="G9" s="181"/>
      <c r="H9" s="181"/>
      <c r="I9" s="181"/>
      <c r="J9" s="181"/>
      <c r="K9" s="181"/>
      <c r="L9" s="181"/>
      <c r="M9" s="181"/>
      <c r="N9" s="181"/>
      <c r="O9" s="181"/>
      <c r="P9" s="181"/>
      <c r="Q9" s="181"/>
      <c r="R9" s="181"/>
      <c r="S9" s="181"/>
      <c r="T9" s="182"/>
    </row>
    <row r="10" spans="2:20" ht="15.4">
      <c r="B10" s="17">
        <v>1</v>
      </c>
      <c r="C10" s="14" t="s">
        <v>18</v>
      </c>
      <c r="D10" s="15"/>
      <c r="E10" s="15"/>
      <c r="F10" s="15"/>
      <c r="G10" s="16"/>
      <c r="H10" s="17" t="s">
        <v>19</v>
      </c>
      <c r="I10" s="17" t="s">
        <v>20</v>
      </c>
      <c r="J10" s="19">
        <v>29.256666666666671</v>
      </c>
      <c r="K10" s="19">
        <v>28.705000000000002</v>
      </c>
      <c r="L10" s="19">
        <v>28.77</v>
      </c>
      <c r="M10" s="19">
        <v>28.338333333333335</v>
      </c>
      <c r="N10" s="19">
        <v>29.09</v>
      </c>
      <c r="O10" s="19">
        <v>28.273166666666668</v>
      </c>
      <c r="P10" s="19">
        <v>28.203333333333333</v>
      </c>
      <c r="Q10" s="19">
        <v>28.103333333333335</v>
      </c>
      <c r="R10" s="19">
        <v>27.738333333333333</v>
      </c>
      <c r="S10" s="19">
        <v>26.709999999999997</v>
      </c>
      <c r="T10" s="30">
        <f>AVERAGE(J10:S10)</f>
        <v>28.318816666666663</v>
      </c>
    </row>
    <row r="11" spans="2:20">
      <c r="B11" s="17">
        <v>2</v>
      </c>
      <c r="C11" s="14" t="s">
        <v>21</v>
      </c>
      <c r="D11" s="15"/>
      <c r="E11" s="15"/>
      <c r="F11" s="15"/>
      <c r="G11" s="16"/>
      <c r="H11" s="17" t="s">
        <v>2</v>
      </c>
      <c r="I11" s="5">
        <v>1000</v>
      </c>
      <c r="J11" s="5">
        <v>136.66666666666666</v>
      </c>
      <c r="K11" s="5">
        <v>171.33333333333334</v>
      </c>
      <c r="L11" s="5">
        <v>191.33333333333334</v>
      </c>
      <c r="M11" s="5">
        <v>238.66666666666666</v>
      </c>
      <c r="N11" s="5">
        <v>204.66666666666666</v>
      </c>
      <c r="O11" s="5">
        <v>206</v>
      </c>
      <c r="P11" s="5">
        <v>192.66666666666666</v>
      </c>
      <c r="Q11" s="5">
        <v>198</v>
      </c>
      <c r="R11" s="5">
        <v>163.33333333333334</v>
      </c>
      <c r="S11" s="5">
        <v>118.66666666666667</v>
      </c>
      <c r="T11" s="30">
        <f>AVERAGE(J11:S11)</f>
        <v>182.13333333333333</v>
      </c>
    </row>
    <row r="12" spans="2:20">
      <c r="B12" s="17">
        <v>3</v>
      </c>
      <c r="C12" s="14" t="s">
        <v>22</v>
      </c>
      <c r="D12" s="15"/>
      <c r="E12" s="15"/>
      <c r="F12" s="15"/>
      <c r="G12" s="16"/>
      <c r="H12" s="17" t="s">
        <v>2</v>
      </c>
      <c r="I12" s="5">
        <v>50</v>
      </c>
      <c r="J12" s="6">
        <v>101.76666666666665</v>
      </c>
      <c r="K12" s="6">
        <v>118</v>
      </c>
      <c r="L12" s="6">
        <v>78.099999999999994</v>
      </c>
      <c r="M12" s="6">
        <v>89.033333333333317</v>
      </c>
      <c r="N12" s="6">
        <v>86.566666666666663</v>
      </c>
      <c r="O12" s="6">
        <v>58.033333333333331</v>
      </c>
      <c r="P12" s="6">
        <v>53.666666666666664</v>
      </c>
      <c r="Q12" s="6">
        <v>151.98333333333332</v>
      </c>
      <c r="R12" s="6">
        <v>11.766666666666666</v>
      </c>
      <c r="S12" s="6">
        <v>40.559999999999995</v>
      </c>
      <c r="T12" s="30">
        <f>AVERAGE(J12:S12)</f>
        <v>78.947666666666663</v>
      </c>
    </row>
    <row r="13" spans="2:20">
      <c r="B13" s="17"/>
      <c r="C13" s="14"/>
      <c r="D13" s="15"/>
      <c r="E13" s="15"/>
      <c r="F13" s="15"/>
      <c r="G13" s="16"/>
      <c r="H13" s="17"/>
      <c r="I13" s="17"/>
      <c r="J13" s="19"/>
      <c r="K13" s="19"/>
      <c r="L13" s="19"/>
      <c r="M13" s="19"/>
      <c r="N13" s="19"/>
      <c r="O13" s="19"/>
      <c r="P13" s="19"/>
      <c r="Q13" s="19"/>
      <c r="R13" s="19"/>
      <c r="S13" s="19"/>
      <c r="T13" s="19"/>
    </row>
    <row r="14" spans="2:20">
      <c r="B14" s="18"/>
      <c r="C14" s="181" t="s">
        <v>23</v>
      </c>
      <c r="D14" s="181"/>
      <c r="E14" s="181"/>
      <c r="F14" s="181"/>
      <c r="G14" s="181"/>
      <c r="H14" s="181"/>
      <c r="I14" s="181"/>
      <c r="J14" s="181"/>
      <c r="K14" s="181"/>
      <c r="L14" s="181"/>
      <c r="M14" s="181"/>
      <c r="N14" s="181"/>
      <c r="O14" s="181"/>
      <c r="P14" s="181"/>
      <c r="Q14" s="181"/>
      <c r="R14" s="181"/>
      <c r="S14" s="181"/>
      <c r="T14" s="182"/>
    </row>
    <row r="15" spans="2:20">
      <c r="B15" s="17">
        <v>1</v>
      </c>
      <c r="C15" s="14" t="s">
        <v>24</v>
      </c>
      <c r="D15" s="15"/>
      <c r="E15" s="15"/>
      <c r="F15" s="15"/>
      <c r="G15" s="16"/>
      <c r="H15" s="17" t="s">
        <v>25</v>
      </c>
      <c r="I15" s="4" t="s">
        <v>26</v>
      </c>
      <c r="J15" s="19">
        <v>6.4233333333333329</v>
      </c>
      <c r="K15" s="19">
        <v>6.37</v>
      </c>
      <c r="L15" s="19">
        <v>6.0049999999999999</v>
      </c>
      <c r="M15" s="19">
        <v>5.8949999999999996</v>
      </c>
      <c r="N15" s="19">
        <v>5.9016666666666664</v>
      </c>
      <c r="O15" s="19">
        <v>5.875</v>
      </c>
      <c r="P15" s="19">
        <v>5.9233333333333329</v>
      </c>
      <c r="Q15" s="19">
        <v>6.0133333333333328</v>
      </c>
      <c r="R15" s="19">
        <v>6.1550000000000002</v>
      </c>
      <c r="S15" s="19">
        <v>6.455000000000001</v>
      </c>
      <c r="T15" s="30">
        <f>AVERAGE(J15:S15)</f>
        <v>6.1016666666666666</v>
      </c>
    </row>
    <row r="16" spans="2:20">
      <c r="B16" s="17">
        <v>2</v>
      </c>
      <c r="C16" s="14" t="s">
        <v>27</v>
      </c>
      <c r="D16" s="15"/>
      <c r="E16" s="15"/>
      <c r="F16" s="15"/>
      <c r="G16" s="16"/>
      <c r="H16" s="17" t="s">
        <v>2</v>
      </c>
      <c r="I16" s="20" t="s">
        <v>25</v>
      </c>
      <c r="J16" s="8">
        <v>1.5381399999999998</v>
      </c>
      <c r="K16" s="8">
        <v>1.5880399999999999</v>
      </c>
      <c r="L16" s="8">
        <v>3.5749599999999999</v>
      </c>
      <c r="M16" s="8">
        <v>3.9273400000000001</v>
      </c>
      <c r="N16" s="8">
        <v>7.9567400000000008</v>
      </c>
      <c r="O16" s="8">
        <v>6.0940199999999995</v>
      </c>
      <c r="P16" s="8">
        <v>6.5221499999999999</v>
      </c>
      <c r="Q16" s="8">
        <v>3.3610333333333333</v>
      </c>
      <c r="R16" s="8">
        <v>0.10478000000000001</v>
      </c>
      <c r="S16" s="8">
        <v>9.8800000000000013E-2</v>
      </c>
      <c r="T16" s="30">
        <f t="shared" ref="T16:T41" si="0">AVERAGE(J16:S16)</f>
        <v>3.4766003333333328</v>
      </c>
    </row>
    <row r="17" spans="2:20">
      <c r="B17" s="17">
        <v>3</v>
      </c>
      <c r="C17" s="14" t="s">
        <v>28</v>
      </c>
      <c r="D17" s="15"/>
      <c r="E17" s="15"/>
      <c r="F17" s="15"/>
      <c r="G17" s="16"/>
      <c r="H17" s="17" t="s">
        <v>2</v>
      </c>
      <c r="I17" s="20" t="s">
        <v>25</v>
      </c>
      <c r="J17" s="9">
        <v>0.29299999999999998</v>
      </c>
      <c r="K17" s="9">
        <v>0.39183333333333326</v>
      </c>
      <c r="L17" s="9">
        <v>0.56083333333333341</v>
      </c>
      <c r="M17" s="9">
        <v>0.54820000000000002</v>
      </c>
      <c r="N17" s="9">
        <v>0.60300000000000009</v>
      </c>
      <c r="O17" s="9">
        <v>0.54933333333333334</v>
      </c>
      <c r="P17" s="9">
        <v>0.57566666666666666</v>
      </c>
      <c r="Q17" s="9">
        <v>0.32966666666666666</v>
      </c>
      <c r="R17" s="9">
        <v>0.47283333333333338</v>
      </c>
      <c r="S17" s="9">
        <v>0.49633333333333335</v>
      </c>
      <c r="T17" s="30">
        <f t="shared" si="0"/>
        <v>0.48207000000000005</v>
      </c>
    </row>
    <row r="18" spans="2:20">
      <c r="B18" s="17">
        <v>4</v>
      </c>
      <c r="C18" s="14" t="s">
        <v>29</v>
      </c>
      <c r="D18" s="15"/>
      <c r="E18" s="15"/>
      <c r="F18" s="15"/>
      <c r="G18" s="16"/>
      <c r="H18" s="17" t="s">
        <v>2</v>
      </c>
      <c r="I18" s="6">
        <v>1.5</v>
      </c>
      <c r="J18" s="9" t="s">
        <v>76</v>
      </c>
      <c r="K18" s="9" t="s">
        <v>76</v>
      </c>
      <c r="L18" s="9" t="s">
        <v>76</v>
      </c>
      <c r="M18" s="9" t="s">
        <v>76</v>
      </c>
      <c r="N18" s="9" t="s">
        <v>76</v>
      </c>
      <c r="O18" s="9" t="s">
        <v>76</v>
      </c>
      <c r="P18" s="9" t="s">
        <v>76</v>
      </c>
      <c r="Q18" s="9" t="s">
        <v>76</v>
      </c>
      <c r="R18" s="9" t="s">
        <v>76</v>
      </c>
      <c r="S18" s="9" t="s">
        <v>85</v>
      </c>
      <c r="T18" s="30" t="s">
        <v>85</v>
      </c>
    </row>
    <row r="19" spans="2:20">
      <c r="B19" s="17">
        <v>5</v>
      </c>
      <c r="C19" s="14" t="s">
        <v>30</v>
      </c>
      <c r="D19" s="15"/>
      <c r="E19" s="15"/>
      <c r="F19" s="15"/>
      <c r="G19" s="16"/>
      <c r="H19" s="17" t="s">
        <v>2</v>
      </c>
      <c r="I19" s="7">
        <v>0.01</v>
      </c>
      <c r="J19" s="8" t="s">
        <v>77</v>
      </c>
      <c r="K19" s="8" t="s">
        <v>77</v>
      </c>
      <c r="L19" s="8" t="s">
        <v>77</v>
      </c>
      <c r="M19" s="8" t="s">
        <v>77</v>
      </c>
      <c r="N19" s="8" t="s">
        <v>77</v>
      </c>
      <c r="O19" s="8" t="s">
        <v>77</v>
      </c>
      <c r="P19" s="8" t="s">
        <v>77</v>
      </c>
      <c r="Q19" s="8" t="s">
        <v>77</v>
      </c>
      <c r="R19" s="8" t="s">
        <v>77</v>
      </c>
      <c r="S19" s="8" t="s">
        <v>86</v>
      </c>
      <c r="T19" s="30" t="str">
        <f>S19</f>
        <v>&lt;0.0021</v>
      </c>
    </row>
    <row r="20" spans="2:20" ht="15.4">
      <c r="B20" s="17">
        <v>6</v>
      </c>
      <c r="C20" s="14" t="s">
        <v>31</v>
      </c>
      <c r="D20" s="15"/>
      <c r="E20" s="15"/>
      <c r="F20" s="15"/>
      <c r="G20" s="16"/>
      <c r="H20" s="17" t="s">
        <v>2</v>
      </c>
      <c r="I20" s="5">
        <v>600</v>
      </c>
      <c r="J20" s="7">
        <v>6.06</v>
      </c>
      <c r="K20" s="7">
        <v>10.853333333333333</v>
      </c>
      <c r="L20" s="7">
        <v>13.705</v>
      </c>
      <c r="M20" s="7">
        <v>13.708333333333334</v>
      </c>
      <c r="N20" s="7">
        <v>15.006666666666668</v>
      </c>
      <c r="O20" s="7">
        <v>13.381666666666666</v>
      </c>
      <c r="P20" s="7">
        <v>12.65</v>
      </c>
      <c r="Q20" s="7">
        <v>10.545</v>
      </c>
      <c r="R20" s="7">
        <v>5.3166666666666664</v>
      </c>
      <c r="S20" s="7">
        <v>5.6416666666666657</v>
      </c>
      <c r="T20" s="30">
        <f t="shared" si="0"/>
        <v>10.686833333333334</v>
      </c>
    </row>
    <row r="21" spans="2:20">
      <c r="B21" s="17">
        <v>7</v>
      </c>
      <c r="C21" s="14" t="s">
        <v>32</v>
      </c>
      <c r="D21" s="15"/>
      <c r="E21" s="15"/>
      <c r="F21" s="15"/>
      <c r="G21" s="16"/>
      <c r="H21" s="17" t="s">
        <v>2</v>
      </c>
      <c r="I21" s="7">
        <v>0.03</v>
      </c>
      <c r="J21" s="6">
        <v>0</v>
      </c>
      <c r="K21" s="6">
        <v>0.11666666666666665</v>
      </c>
      <c r="L21" s="6">
        <v>0.13333333333333333</v>
      </c>
      <c r="M21" s="6">
        <v>0.10000000000000002</v>
      </c>
      <c r="N21" s="6">
        <v>8.3333333333333329E-2</v>
      </c>
      <c r="O21" s="6">
        <v>0.11666666666666665</v>
      </c>
      <c r="P21" s="6">
        <v>6.6666666666666666E-2</v>
      </c>
      <c r="Q21" s="6">
        <v>5.000000000000001E-2</v>
      </c>
      <c r="R21" s="6">
        <v>0</v>
      </c>
      <c r="S21" s="6">
        <v>0</v>
      </c>
      <c r="T21" s="30">
        <f t="shared" si="0"/>
        <v>6.666666666666668E-2</v>
      </c>
    </row>
    <row r="22" spans="2:20">
      <c r="B22" s="17">
        <v>8</v>
      </c>
      <c r="C22" s="14" t="s">
        <v>33</v>
      </c>
      <c r="D22" s="15"/>
      <c r="E22" s="15"/>
      <c r="F22" s="15"/>
      <c r="G22" s="16"/>
      <c r="H22" s="17" t="s">
        <v>2</v>
      </c>
      <c r="I22" s="7">
        <v>0.05</v>
      </c>
      <c r="J22" s="8" t="s">
        <v>78</v>
      </c>
      <c r="K22" s="8" t="s">
        <v>78</v>
      </c>
      <c r="L22" s="8" t="s">
        <v>78</v>
      </c>
      <c r="M22" s="8" t="s">
        <v>78</v>
      </c>
      <c r="N22" s="8" t="s">
        <v>78</v>
      </c>
      <c r="O22" s="8" t="s">
        <v>78</v>
      </c>
      <c r="P22" s="8" t="s">
        <v>78</v>
      </c>
      <c r="Q22" s="8" t="s">
        <v>78</v>
      </c>
      <c r="R22" s="8" t="s">
        <v>78</v>
      </c>
      <c r="S22" s="8" t="s">
        <v>87</v>
      </c>
      <c r="T22" s="30" t="str">
        <f>S22</f>
        <v>&lt;0.0002</v>
      </c>
    </row>
    <row r="23" spans="2:20">
      <c r="B23" s="17">
        <v>9</v>
      </c>
      <c r="C23" s="14" t="s">
        <v>34</v>
      </c>
      <c r="D23" s="15"/>
      <c r="E23" s="15"/>
      <c r="F23" s="15"/>
      <c r="G23" s="16"/>
      <c r="H23" s="17" t="s">
        <v>2</v>
      </c>
      <c r="I23" s="20" t="s">
        <v>25</v>
      </c>
      <c r="J23" s="8">
        <v>9.3466666666666656E-2</v>
      </c>
      <c r="K23" s="8">
        <v>0.41800000000000004</v>
      </c>
      <c r="L23" s="8">
        <v>0.61602000000000001</v>
      </c>
      <c r="M23" s="8">
        <v>0.77792499999999998</v>
      </c>
      <c r="N23" s="8">
        <v>0.64817800000000003</v>
      </c>
      <c r="O23" s="8">
        <v>0.69133999999999995</v>
      </c>
      <c r="P23" s="8">
        <v>0.72138000000000002</v>
      </c>
      <c r="Q23" s="8">
        <v>0.7270833333333333</v>
      </c>
      <c r="R23" s="8">
        <v>0.22381999999999999</v>
      </c>
      <c r="S23" s="8">
        <v>0.38991666666666669</v>
      </c>
      <c r="T23" s="30">
        <f t="shared" si="0"/>
        <v>0.53071296666666667</v>
      </c>
    </row>
    <row r="24" spans="2:20" ht="15.75">
      <c r="B24" s="17">
        <v>10</v>
      </c>
      <c r="C24" s="14" t="s">
        <v>35</v>
      </c>
      <c r="D24" s="15"/>
      <c r="E24" s="15"/>
      <c r="F24" s="15"/>
      <c r="G24" s="16"/>
      <c r="H24" s="17" t="s">
        <v>2</v>
      </c>
      <c r="I24" s="5">
        <v>10</v>
      </c>
      <c r="J24" s="9">
        <v>0.59550000000000003</v>
      </c>
      <c r="K24" s="9">
        <v>0.94866666666666666</v>
      </c>
      <c r="L24" s="9">
        <v>1.1904999999999999</v>
      </c>
      <c r="M24" s="9">
        <v>0.76583333333333325</v>
      </c>
      <c r="N24" s="9">
        <v>1.236</v>
      </c>
      <c r="O24" s="9">
        <v>0.99866666666666681</v>
      </c>
      <c r="P24" s="9">
        <v>0.80399999999999994</v>
      </c>
      <c r="Q24" s="9">
        <v>1.1413333333333331</v>
      </c>
      <c r="R24" s="9">
        <v>0.48649999999999999</v>
      </c>
      <c r="S24" s="9">
        <v>0.86216666666666664</v>
      </c>
      <c r="T24" s="30">
        <f t="shared" si="0"/>
        <v>0.9029166666666667</v>
      </c>
    </row>
    <row r="25" spans="2:20" ht="15.75">
      <c r="B25" s="17">
        <v>11</v>
      </c>
      <c r="C25" s="14" t="s">
        <v>36</v>
      </c>
      <c r="D25" s="15"/>
      <c r="E25" s="15"/>
      <c r="F25" s="15"/>
      <c r="G25" s="16"/>
      <c r="H25" s="17" t="s">
        <v>2</v>
      </c>
      <c r="I25" s="7">
        <v>0.06</v>
      </c>
      <c r="J25" s="9">
        <v>2.6833333333333334E-2</v>
      </c>
      <c r="K25" s="9">
        <v>0.17116666666666669</v>
      </c>
      <c r="L25" s="9">
        <v>8.7000000000000008E-2</v>
      </c>
      <c r="M25" s="9">
        <v>1.2833333333333335E-2</v>
      </c>
      <c r="N25" s="9">
        <v>1.9833333333333331E-2</v>
      </c>
      <c r="O25" s="9">
        <v>1.6666666666666666E-2</v>
      </c>
      <c r="P25" s="9">
        <v>1.3500000000000003E-2</v>
      </c>
      <c r="Q25" s="9">
        <v>6.8600000000000008E-2</v>
      </c>
      <c r="R25" s="9">
        <v>7.0000000000000001E-3</v>
      </c>
      <c r="S25" s="9">
        <v>1.2833333333333334E-2</v>
      </c>
      <c r="T25" s="30">
        <f t="shared" si="0"/>
        <v>4.3626666666666668E-2</v>
      </c>
    </row>
    <row r="26" spans="2:20">
      <c r="B26" s="17">
        <v>12</v>
      </c>
      <c r="C26" s="14" t="s">
        <v>37</v>
      </c>
      <c r="D26" s="15"/>
      <c r="E26" s="15"/>
      <c r="F26" s="15"/>
      <c r="G26" s="16"/>
      <c r="H26" s="17" t="s">
        <v>2</v>
      </c>
      <c r="I26" s="5" t="s">
        <v>38</v>
      </c>
      <c r="J26" s="7">
        <v>5.8599999999999994</v>
      </c>
      <c r="K26" s="7">
        <v>4.3433333333333337</v>
      </c>
      <c r="L26" s="7">
        <v>4.6433333333333335</v>
      </c>
      <c r="M26" s="7">
        <v>7.0966666666666676</v>
      </c>
      <c r="N26" s="7">
        <v>5.3150000000000004</v>
      </c>
      <c r="O26" s="7">
        <v>4.7716666666666665</v>
      </c>
      <c r="P26" s="7">
        <v>4.4716666666666667</v>
      </c>
      <c r="Q26" s="7">
        <v>5.1850000000000005</v>
      </c>
      <c r="R26" s="7">
        <v>5.3533333333333344</v>
      </c>
      <c r="S26" s="7">
        <v>6.6783333333333319</v>
      </c>
      <c r="T26" s="30">
        <f t="shared" si="0"/>
        <v>5.371833333333333</v>
      </c>
    </row>
    <row r="27" spans="2:20">
      <c r="B27" s="17">
        <v>13</v>
      </c>
      <c r="C27" s="14" t="s">
        <v>39</v>
      </c>
      <c r="D27" s="15"/>
      <c r="E27" s="15"/>
      <c r="F27" s="15"/>
      <c r="G27" s="16"/>
      <c r="H27" s="17" t="s">
        <v>2</v>
      </c>
      <c r="I27" s="5">
        <v>3</v>
      </c>
      <c r="J27" s="7">
        <v>14.166666666666666</v>
      </c>
      <c r="K27" s="7">
        <v>15.603333333333333</v>
      </c>
      <c r="L27" s="7">
        <v>12.44</v>
      </c>
      <c r="M27" s="7">
        <v>18.266666666666666</v>
      </c>
      <c r="N27" s="7">
        <v>17.420000000000002</v>
      </c>
      <c r="O27" s="7">
        <v>12.008333333333335</v>
      </c>
      <c r="P27" s="7">
        <v>22.439999999999998</v>
      </c>
      <c r="Q27" s="7">
        <v>12.519999999999998</v>
      </c>
      <c r="R27" s="7">
        <v>18.116666666666667</v>
      </c>
      <c r="S27" s="7">
        <v>13.431666666666667</v>
      </c>
      <c r="T27" s="30">
        <f t="shared" si="0"/>
        <v>15.641333333333336</v>
      </c>
    </row>
    <row r="28" spans="2:20">
      <c r="B28" s="17">
        <v>14</v>
      </c>
      <c r="C28" s="14" t="s">
        <v>40</v>
      </c>
      <c r="D28" s="15"/>
      <c r="E28" s="15"/>
      <c r="F28" s="15"/>
      <c r="G28" s="16"/>
      <c r="H28" s="17" t="s">
        <v>2</v>
      </c>
      <c r="I28" s="5">
        <v>25</v>
      </c>
      <c r="J28" s="7">
        <v>28.338333333333335</v>
      </c>
      <c r="K28" s="7">
        <v>33.980000000000004</v>
      </c>
      <c r="L28" s="7">
        <v>26.825000000000003</v>
      </c>
      <c r="M28" s="7">
        <v>39.456666666666671</v>
      </c>
      <c r="N28" s="7">
        <v>43.699999999999996</v>
      </c>
      <c r="O28" s="7">
        <v>27.896666666666665</v>
      </c>
      <c r="P28" s="7">
        <v>43.79</v>
      </c>
      <c r="Q28" s="7">
        <v>24.018333333333334</v>
      </c>
      <c r="R28" s="7">
        <v>45.383333333333333</v>
      </c>
      <c r="S28" s="7">
        <v>30.058333333333334</v>
      </c>
      <c r="T28" s="30">
        <f t="shared" si="0"/>
        <v>34.344666666666669</v>
      </c>
    </row>
    <row r="29" spans="2:20">
      <c r="B29" s="17">
        <v>15</v>
      </c>
      <c r="C29" s="14" t="s">
        <v>41</v>
      </c>
      <c r="D29" s="15"/>
      <c r="E29" s="15"/>
      <c r="F29" s="15"/>
      <c r="G29" s="16"/>
      <c r="H29" s="17" t="s">
        <v>2</v>
      </c>
      <c r="I29" s="7">
        <v>0.05</v>
      </c>
      <c r="J29" s="9">
        <v>4.0666666666666663E-2</v>
      </c>
      <c r="K29" s="9">
        <v>4.9799999999999997E-2</v>
      </c>
      <c r="L29" s="9">
        <v>4.2000000000000003E-2</v>
      </c>
      <c r="M29" s="9">
        <v>7.1833333333333318E-2</v>
      </c>
      <c r="N29" s="9">
        <v>4.1833333333333333E-2</v>
      </c>
      <c r="O29" s="9">
        <v>3.2999999999999995E-2</v>
      </c>
      <c r="P29" s="9">
        <v>6.7499999999999991E-2</v>
      </c>
      <c r="Q29" s="9">
        <v>0.32183333333333336</v>
      </c>
      <c r="R29" s="9">
        <v>7.0833333333333331E-2</v>
      </c>
      <c r="S29" s="9">
        <v>9.3333333333333338E-2</v>
      </c>
      <c r="T29" s="30">
        <f t="shared" si="0"/>
        <v>8.3263333333333328E-2</v>
      </c>
    </row>
    <row r="30" spans="2:20">
      <c r="B30" s="17">
        <v>16</v>
      </c>
      <c r="C30" s="14" t="s">
        <v>42</v>
      </c>
      <c r="D30" s="15"/>
      <c r="E30" s="15"/>
      <c r="F30" s="15"/>
      <c r="G30" s="16"/>
      <c r="H30" s="17" t="s">
        <v>2</v>
      </c>
      <c r="I30" s="7">
        <v>0.02</v>
      </c>
      <c r="J30" s="6">
        <v>0</v>
      </c>
      <c r="K30" s="6">
        <v>0</v>
      </c>
      <c r="L30" s="6">
        <v>0</v>
      </c>
      <c r="M30" s="6">
        <v>0</v>
      </c>
      <c r="N30" s="6">
        <v>0</v>
      </c>
      <c r="O30" s="6">
        <v>0</v>
      </c>
      <c r="P30" s="6">
        <v>0</v>
      </c>
      <c r="Q30" s="6">
        <v>0</v>
      </c>
      <c r="R30" s="6">
        <v>0</v>
      </c>
      <c r="S30" s="6">
        <v>0</v>
      </c>
      <c r="T30" s="30">
        <f t="shared" si="0"/>
        <v>0</v>
      </c>
    </row>
    <row r="31" spans="2:20" ht="15.75">
      <c r="B31" s="17">
        <v>17</v>
      </c>
      <c r="C31" s="14" t="s">
        <v>43</v>
      </c>
      <c r="D31" s="15"/>
      <c r="E31" s="15"/>
      <c r="F31" s="15"/>
      <c r="G31" s="16"/>
      <c r="H31" s="17" t="s">
        <v>2</v>
      </c>
      <c r="I31" s="20" t="s">
        <v>25</v>
      </c>
      <c r="J31" s="9">
        <v>48.987166666666667</v>
      </c>
      <c r="K31" s="9">
        <v>88.765500000000017</v>
      </c>
      <c r="L31" s="9">
        <v>101.9855</v>
      </c>
      <c r="M31" s="9">
        <v>104.92083333333333</v>
      </c>
      <c r="N31" s="9">
        <v>89.30483333333332</v>
      </c>
      <c r="O31" s="9">
        <v>92.219333333333338</v>
      </c>
      <c r="P31" s="9">
        <v>105.35566666666666</v>
      </c>
      <c r="Q31" s="9">
        <v>133.99216666666666</v>
      </c>
      <c r="R31" s="9">
        <v>75.057833333333335</v>
      </c>
      <c r="S31" s="9">
        <v>88.923666666666676</v>
      </c>
      <c r="T31" s="30">
        <f t="shared" si="0"/>
        <v>92.951250000000002</v>
      </c>
    </row>
    <row r="32" spans="2:20" ht="15.75">
      <c r="B32" s="17">
        <v>18</v>
      </c>
      <c r="C32" s="14" t="s">
        <v>44</v>
      </c>
      <c r="D32" s="15"/>
      <c r="E32" s="15"/>
      <c r="F32" s="15"/>
      <c r="G32" s="16"/>
      <c r="H32" s="17" t="s">
        <v>2</v>
      </c>
      <c r="I32" s="9">
        <v>2E-3</v>
      </c>
      <c r="J32" s="8" t="s">
        <v>79</v>
      </c>
      <c r="K32" s="8" t="s">
        <v>79</v>
      </c>
      <c r="L32" s="8" t="s">
        <v>79</v>
      </c>
      <c r="M32" s="8" t="s">
        <v>79</v>
      </c>
      <c r="N32" s="8" t="s">
        <v>79</v>
      </c>
      <c r="O32" s="8" t="s">
        <v>79</v>
      </c>
      <c r="P32" s="8" t="s">
        <v>79</v>
      </c>
      <c r="Q32" s="8" t="s">
        <v>79</v>
      </c>
      <c r="R32" s="8" t="s">
        <v>79</v>
      </c>
      <c r="S32" s="8" t="s">
        <v>88</v>
      </c>
      <c r="T32" s="30" t="str">
        <f>S32</f>
        <v>&lt;0.0011</v>
      </c>
    </row>
    <row r="33" spans="2:20">
      <c r="B33" s="17">
        <v>19</v>
      </c>
      <c r="C33" s="14" t="s">
        <v>45</v>
      </c>
      <c r="D33" s="15"/>
      <c r="E33" s="15"/>
      <c r="F33" s="15"/>
      <c r="G33" s="16"/>
      <c r="H33" s="17" t="s">
        <v>2</v>
      </c>
      <c r="I33" s="7">
        <v>0.02</v>
      </c>
      <c r="J33" s="8" t="s">
        <v>80</v>
      </c>
      <c r="K33" s="8" t="s">
        <v>80</v>
      </c>
      <c r="L33" s="8" t="s">
        <v>80</v>
      </c>
      <c r="M33" s="8" t="s">
        <v>80</v>
      </c>
      <c r="N33" s="8">
        <v>1.1349999999999999E-2</v>
      </c>
      <c r="O33" s="8" t="s">
        <v>80</v>
      </c>
      <c r="P33" s="8">
        <v>8.8999999999999999E-3</v>
      </c>
      <c r="Q33" s="8">
        <v>2.215E-2</v>
      </c>
      <c r="R33" s="8">
        <v>1.9566666666666666E-2</v>
      </c>
      <c r="S33" s="8" t="s">
        <v>89</v>
      </c>
      <c r="T33" s="30">
        <f t="shared" si="0"/>
        <v>1.5491666666666664E-2</v>
      </c>
    </row>
    <row r="34" spans="2:20">
      <c r="B34" s="17">
        <v>20</v>
      </c>
      <c r="C34" s="14" t="s">
        <v>46</v>
      </c>
      <c r="D34" s="15"/>
      <c r="E34" s="15"/>
      <c r="F34" s="15"/>
      <c r="G34" s="16"/>
      <c r="H34" s="17" t="s">
        <v>2</v>
      </c>
      <c r="I34" s="7">
        <v>0.03</v>
      </c>
      <c r="J34" s="8" t="s">
        <v>81</v>
      </c>
      <c r="K34" s="8" t="s">
        <v>81</v>
      </c>
      <c r="L34" s="8" t="s">
        <v>81</v>
      </c>
      <c r="M34" s="8" t="s">
        <v>81</v>
      </c>
      <c r="N34" s="8" t="s">
        <v>81</v>
      </c>
      <c r="O34" s="8" t="s">
        <v>81</v>
      </c>
      <c r="P34" s="8" t="s">
        <v>81</v>
      </c>
      <c r="Q34" s="8" t="s">
        <v>81</v>
      </c>
      <c r="R34" s="8" t="s">
        <v>81</v>
      </c>
      <c r="S34" s="8" t="s">
        <v>90</v>
      </c>
      <c r="T34" s="30" t="str">
        <f>S34</f>
        <v>&lt;0.0027</v>
      </c>
    </row>
    <row r="35" spans="2:20" ht="15.75">
      <c r="B35" s="17">
        <v>21</v>
      </c>
      <c r="C35" s="14" t="s">
        <v>47</v>
      </c>
      <c r="D35" s="15"/>
      <c r="E35" s="15"/>
      <c r="F35" s="15"/>
      <c r="G35" s="16"/>
      <c r="H35" s="17" t="s">
        <v>2</v>
      </c>
      <c r="I35" s="6">
        <v>0.2</v>
      </c>
      <c r="J35" s="8">
        <v>3.075E-2</v>
      </c>
      <c r="K35" s="8">
        <v>0.1062</v>
      </c>
      <c r="L35" s="8">
        <v>0.18396666666666669</v>
      </c>
      <c r="M35" s="8">
        <v>0.17621999999999999</v>
      </c>
      <c r="N35" s="8">
        <v>0.23488000000000003</v>
      </c>
      <c r="O35" s="8">
        <v>9.5819999999999989E-2</v>
      </c>
      <c r="P35" s="8">
        <v>7.9149999999999984E-2</v>
      </c>
      <c r="Q35" s="8">
        <v>4.3500000000000004E-2</v>
      </c>
      <c r="R35" s="8" t="s">
        <v>74</v>
      </c>
      <c r="S35" s="8" t="s">
        <v>91</v>
      </c>
      <c r="T35" s="30">
        <f t="shared" si="0"/>
        <v>0.11881083333333334</v>
      </c>
    </row>
    <row r="36" spans="2:20">
      <c r="B36" s="17">
        <v>22</v>
      </c>
      <c r="C36" s="14" t="s">
        <v>48</v>
      </c>
      <c r="D36" s="15"/>
      <c r="E36" s="15"/>
      <c r="F36" s="15"/>
      <c r="G36" s="16"/>
      <c r="H36" s="17" t="s">
        <v>2</v>
      </c>
      <c r="I36" s="9">
        <v>1E-3</v>
      </c>
      <c r="J36" s="8" t="s">
        <v>82</v>
      </c>
      <c r="K36" s="8" t="s">
        <v>82</v>
      </c>
      <c r="L36" s="8" t="s">
        <v>82</v>
      </c>
      <c r="M36" s="8" t="s">
        <v>82</v>
      </c>
      <c r="N36" s="8" t="s">
        <v>82</v>
      </c>
      <c r="O36" s="8" t="s">
        <v>82</v>
      </c>
      <c r="P36" s="8" t="s">
        <v>82</v>
      </c>
      <c r="Q36" s="8" t="s">
        <v>82</v>
      </c>
      <c r="R36" s="8" t="s">
        <v>82</v>
      </c>
      <c r="S36" s="8" t="s">
        <v>92</v>
      </c>
      <c r="T36" s="30" t="str">
        <f>S36</f>
        <v>&lt;0.0006</v>
      </c>
    </row>
    <row r="37" spans="2:20">
      <c r="B37" s="17">
        <v>23</v>
      </c>
      <c r="C37" s="14" t="s">
        <v>49</v>
      </c>
      <c r="D37" s="15"/>
      <c r="E37" s="15"/>
      <c r="F37" s="15"/>
      <c r="G37" s="16"/>
      <c r="H37" s="17" t="s">
        <v>2</v>
      </c>
      <c r="I37" s="5">
        <v>1</v>
      </c>
      <c r="J37" s="9">
        <v>8.5000000000000006E-3</v>
      </c>
      <c r="K37" s="9">
        <v>1.2000000000000002E-2</v>
      </c>
      <c r="L37" s="9">
        <v>9.1666666666666667E-3</v>
      </c>
      <c r="M37" s="9">
        <v>7.6666666666666662E-3</v>
      </c>
      <c r="N37" s="9">
        <v>8.0000000000000002E-3</v>
      </c>
      <c r="O37" s="9">
        <v>1.0166666666666668E-2</v>
      </c>
      <c r="P37" s="9">
        <v>6.6666666666666654E-3</v>
      </c>
      <c r="Q37" s="9">
        <v>1.1166666666666667E-2</v>
      </c>
      <c r="R37" s="9">
        <v>7.8333333333333328E-3</v>
      </c>
      <c r="S37" s="9">
        <v>8.3333333333333332E-3</v>
      </c>
      <c r="T37" s="30">
        <f t="shared" si="0"/>
        <v>8.9500000000000014E-3</v>
      </c>
    </row>
    <row r="38" spans="2:20">
      <c r="B38" s="17">
        <v>24</v>
      </c>
      <c r="C38" s="14" t="s">
        <v>50</v>
      </c>
      <c r="D38" s="15"/>
      <c r="E38" s="15"/>
      <c r="F38" s="15"/>
      <c r="G38" s="16"/>
      <c r="H38" s="17" t="s">
        <v>2</v>
      </c>
      <c r="I38" s="6">
        <v>0.2</v>
      </c>
      <c r="J38" s="9" t="s">
        <v>83</v>
      </c>
      <c r="K38" s="9">
        <v>2.75E-2</v>
      </c>
      <c r="L38" s="9">
        <v>5.5200000000000006E-2</v>
      </c>
      <c r="M38" s="9">
        <v>4.6419999999999996E-2</v>
      </c>
      <c r="N38" s="9">
        <v>6.6000000000000003E-2</v>
      </c>
      <c r="O38" s="9">
        <v>4.8999999999999995E-2</v>
      </c>
      <c r="P38" s="9">
        <v>4.1000000000000002E-2</v>
      </c>
      <c r="Q38" s="9">
        <v>1.9E-2</v>
      </c>
      <c r="R38" s="9" t="s">
        <v>83</v>
      </c>
      <c r="S38" s="9" t="s">
        <v>93</v>
      </c>
      <c r="T38" s="30">
        <f t="shared" si="0"/>
        <v>4.3445714285714289E-2</v>
      </c>
    </row>
    <row r="39" spans="2:20">
      <c r="B39" s="17">
        <v>25</v>
      </c>
      <c r="C39" s="14" t="s">
        <v>51</v>
      </c>
      <c r="D39" s="15"/>
      <c r="E39" s="15"/>
      <c r="F39" s="15"/>
      <c r="G39" s="16"/>
      <c r="H39" s="17" t="s">
        <v>2</v>
      </c>
      <c r="I39" s="7">
        <v>0.05</v>
      </c>
      <c r="J39" s="8" t="s">
        <v>77</v>
      </c>
      <c r="K39" s="8" t="s">
        <v>77</v>
      </c>
      <c r="L39" s="8" t="s">
        <v>77</v>
      </c>
      <c r="M39" s="8" t="s">
        <v>77</v>
      </c>
      <c r="N39" s="8" t="s">
        <v>77</v>
      </c>
      <c r="O39" s="8" t="s">
        <v>77</v>
      </c>
      <c r="P39" s="8" t="s">
        <v>77</v>
      </c>
      <c r="Q39" s="8" t="s">
        <v>77</v>
      </c>
      <c r="R39" s="8" t="s">
        <v>77</v>
      </c>
      <c r="S39" s="8" t="s">
        <v>86</v>
      </c>
      <c r="T39" s="30" t="str">
        <f>S39</f>
        <v>&lt;0.0021</v>
      </c>
    </row>
    <row r="40" spans="2:20">
      <c r="B40" s="17">
        <v>26</v>
      </c>
      <c r="C40" s="14" t="s">
        <v>52</v>
      </c>
      <c r="D40" s="15"/>
      <c r="E40" s="15"/>
      <c r="F40" s="15"/>
      <c r="G40" s="16"/>
      <c r="H40" s="17" t="s">
        <v>53</v>
      </c>
      <c r="I40" s="17" t="s">
        <v>54</v>
      </c>
      <c r="J40" s="12">
        <v>139.26666666666668</v>
      </c>
      <c r="K40" s="12">
        <v>155.4</v>
      </c>
      <c r="L40" s="12">
        <v>167.83333333333334</v>
      </c>
      <c r="M40" s="6">
        <v>152.71666666666667</v>
      </c>
      <c r="N40" s="6">
        <v>228.5</v>
      </c>
      <c r="O40" s="6">
        <v>143.48333333333332</v>
      </c>
      <c r="P40" s="6">
        <v>119.23333333333333</v>
      </c>
      <c r="Q40" s="6">
        <v>102.19999999999999</v>
      </c>
      <c r="R40" s="6">
        <v>28.233333333333334</v>
      </c>
      <c r="S40" s="6">
        <v>72.433333333333323</v>
      </c>
      <c r="T40" s="30">
        <f t="shared" si="0"/>
        <v>130.93</v>
      </c>
    </row>
    <row r="41" spans="2:20">
      <c r="B41" s="17">
        <v>27</v>
      </c>
      <c r="C41" s="14" t="s">
        <v>55</v>
      </c>
      <c r="D41" s="15"/>
      <c r="E41" s="15"/>
      <c r="F41" s="15"/>
      <c r="G41" s="16"/>
      <c r="H41" s="21" t="s">
        <v>56</v>
      </c>
      <c r="I41" s="17" t="s">
        <v>54</v>
      </c>
      <c r="J41" s="9">
        <v>0.26383333333333331</v>
      </c>
      <c r="K41" s="9">
        <v>0.53933333333333333</v>
      </c>
      <c r="L41" s="9">
        <v>0.59883333333333344</v>
      </c>
      <c r="M41" s="9">
        <v>0.6253333333333333</v>
      </c>
      <c r="N41" s="9">
        <v>0.42616666666666664</v>
      </c>
      <c r="O41" s="9">
        <v>0.43183333333333329</v>
      </c>
      <c r="P41" s="9">
        <v>0.59433333333333327</v>
      </c>
      <c r="Q41" s="9">
        <v>0.56266666666666676</v>
      </c>
      <c r="R41" s="9">
        <v>0.34483333333333333</v>
      </c>
      <c r="S41" s="9">
        <v>0.37833333333333335</v>
      </c>
      <c r="T41" s="30">
        <f t="shared" si="0"/>
        <v>0.47655000000000003</v>
      </c>
    </row>
    <row r="42" spans="2:20">
      <c r="B42" s="17"/>
      <c r="C42" s="14"/>
      <c r="D42" s="15"/>
      <c r="E42" s="15"/>
      <c r="F42" s="15"/>
      <c r="G42" s="16"/>
      <c r="H42" s="21"/>
      <c r="I42" s="17"/>
      <c r="J42" s="9"/>
      <c r="K42" s="9"/>
      <c r="L42" s="9"/>
      <c r="M42" s="9"/>
      <c r="N42" s="9"/>
      <c r="O42" s="9"/>
      <c r="P42" s="9"/>
      <c r="Q42" s="9"/>
      <c r="R42" s="9"/>
      <c r="S42" s="9"/>
      <c r="T42" s="9"/>
    </row>
    <row r="43" spans="2:20">
      <c r="B43" s="18"/>
      <c r="C43" s="181" t="s">
        <v>57</v>
      </c>
      <c r="D43" s="181"/>
      <c r="E43" s="181"/>
      <c r="F43" s="181"/>
      <c r="G43" s="181"/>
      <c r="H43" s="181"/>
      <c r="I43" s="181"/>
      <c r="J43" s="181"/>
      <c r="K43" s="181"/>
      <c r="L43" s="181"/>
      <c r="M43" s="181"/>
      <c r="N43" s="181"/>
      <c r="O43" s="181"/>
      <c r="P43" s="181"/>
      <c r="Q43" s="181"/>
      <c r="R43" s="181"/>
      <c r="S43" s="181"/>
      <c r="T43" s="182"/>
    </row>
    <row r="44" spans="2:20">
      <c r="B44" s="17">
        <v>1</v>
      </c>
      <c r="C44" s="14" t="s">
        <v>58</v>
      </c>
      <c r="D44" s="15"/>
      <c r="E44" s="15"/>
      <c r="F44" s="15"/>
      <c r="G44" s="16"/>
      <c r="H44" s="17" t="s">
        <v>59</v>
      </c>
      <c r="I44" s="5">
        <v>10000</v>
      </c>
      <c r="J44" s="10">
        <v>859000</v>
      </c>
      <c r="K44" s="10">
        <v>1178333.3333333333</v>
      </c>
      <c r="L44" s="10">
        <v>1185000</v>
      </c>
      <c r="M44" s="11">
        <v>1162500</v>
      </c>
      <c r="N44" s="26">
        <v>1342333.3333333333</v>
      </c>
      <c r="O44" s="10">
        <v>993166.66666666663</v>
      </c>
      <c r="P44" s="11">
        <v>1248333.3333333333</v>
      </c>
      <c r="Q44" s="11">
        <v>1027000</v>
      </c>
      <c r="R44" s="11">
        <v>4233.333333333333</v>
      </c>
      <c r="S44" s="11">
        <v>16128.333333333334</v>
      </c>
      <c r="T44" s="31">
        <f>AVERAGE(J44:S44)</f>
        <v>901602.83333333337</v>
      </c>
    </row>
    <row r="45" spans="2:20">
      <c r="B45" s="17">
        <v>2</v>
      </c>
      <c r="C45" s="14" t="s">
        <v>60</v>
      </c>
      <c r="D45" s="15"/>
      <c r="E45" s="15"/>
      <c r="F45" s="15"/>
      <c r="G45" s="16"/>
      <c r="H45" s="17" t="s">
        <v>59</v>
      </c>
      <c r="I45" s="5">
        <v>1000</v>
      </c>
      <c r="J45" s="10">
        <v>822666.66666666663</v>
      </c>
      <c r="K45" s="10">
        <v>845000</v>
      </c>
      <c r="L45" s="10">
        <v>1168333.3333333333</v>
      </c>
      <c r="M45" s="11">
        <v>1103166.6666666667</v>
      </c>
      <c r="N45" s="26">
        <v>1165666.6666666667</v>
      </c>
      <c r="O45" s="10">
        <v>845333.33333333337</v>
      </c>
      <c r="P45" s="11">
        <v>1040000</v>
      </c>
      <c r="Q45" s="11">
        <v>628700</v>
      </c>
      <c r="R45" s="11">
        <v>1943.3333333333333</v>
      </c>
      <c r="S45" s="11">
        <v>8148.333333333333</v>
      </c>
      <c r="T45" s="31">
        <f>AVERAGE(J45:S45)</f>
        <v>762895.83333333326</v>
      </c>
    </row>
    <row r="46" spans="2:20">
      <c r="B46" s="183"/>
      <c r="C46" s="183"/>
      <c r="D46" s="183"/>
      <c r="E46" s="183"/>
      <c r="F46" s="183"/>
      <c r="G46" s="183"/>
      <c r="H46" s="183"/>
      <c r="I46" s="183"/>
      <c r="J46" s="183"/>
      <c r="K46" s="183"/>
      <c r="L46" s="183"/>
      <c r="M46" s="183"/>
      <c r="N46" s="183"/>
      <c r="O46" s="183"/>
      <c r="P46" s="183"/>
      <c r="Q46" s="183"/>
      <c r="R46" s="183"/>
      <c r="S46" s="183"/>
      <c r="T46" s="183"/>
    </row>
    <row r="47" spans="2:20">
      <c r="B47" s="13"/>
      <c r="C47" s="22" t="s">
        <v>61</v>
      </c>
      <c r="D47" s="23"/>
      <c r="E47" s="23"/>
      <c r="F47" s="23"/>
      <c r="G47" s="24"/>
      <c r="H47" s="25"/>
      <c r="I47" s="14"/>
      <c r="J47" s="17" t="s">
        <v>11</v>
      </c>
      <c r="K47" s="17" t="s">
        <v>11</v>
      </c>
      <c r="L47" s="17" t="s">
        <v>11</v>
      </c>
      <c r="M47" s="17" t="s">
        <v>11</v>
      </c>
      <c r="N47" s="17" t="s">
        <v>11</v>
      </c>
      <c r="O47" s="17" t="s">
        <v>11</v>
      </c>
      <c r="P47" s="17" t="s">
        <v>11</v>
      </c>
      <c r="Q47" s="17" t="s">
        <v>11</v>
      </c>
      <c r="R47" s="17" t="s">
        <v>11</v>
      </c>
      <c r="S47" s="17" t="s">
        <v>11</v>
      </c>
      <c r="T47" s="29" t="s">
        <v>11</v>
      </c>
    </row>
    <row r="48" spans="2:20" ht="28.5" customHeight="1">
      <c r="B48" s="13"/>
      <c r="C48" s="22" t="s">
        <v>62</v>
      </c>
      <c r="D48" s="23"/>
      <c r="E48" s="23"/>
      <c r="F48" s="23"/>
      <c r="G48" s="24"/>
      <c r="H48" s="25"/>
      <c r="I48" s="27"/>
      <c r="J48" s="28" t="s">
        <v>66</v>
      </c>
      <c r="K48" s="28" t="s">
        <v>69</v>
      </c>
      <c r="L48" s="28" t="s">
        <v>69</v>
      </c>
      <c r="M48" s="28" t="s">
        <v>70</v>
      </c>
      <c r="N48" s="28" t="s">
        <v>72</v>
      </c>
      <c r="O48" s="28" t="s">
        <v>72</v>
      </c>
      <c r="P48" s="28" t="s">
        <v>70</v>
      </c>
      <c r="Q48" s="28" t="s">
        <v>73</v>
      </c>
      <c r="R48" s="28" t="s">
        <v>75</v>
      </c>
      <c r="S48" s="28" t="s">
        <v>94</v>
      </c>
      <c r="T48" s="32" t="s">
        <v>95</v>
      </c>
    </row>
  </sheetData>
  <mergeCells count="20">
    <mergeCell ref="C43:T43"/>
    <mergeCell ref="B46:T46"/>
    <mergeCell ref="J3:S3"/>
    <mergeCell ref="Q4:Q5"/>
    <mergeCell ref="R4:R5"/>
    <mergeCell ref="S4:S5"/>
    <mergeCell ref="K4:K5"/>
    <mergeCell ref="L4:L5"/>
    <mergeCell ref="T3:T5"/>
    <mergeCell ref="J4:J5"/>
    <mergeCell ref="M4:M5"/>
    <mergeCell ref="N4:N5"/>
    <mergeCell ref="O4:O5"/>
    <mergeCell ref="P4:P5"/>
    <mergeCell ref="B3:B5"/>
    <mergeCell ref="C3:G5"/>
    <mergeCell ref="H3:H5"/>
    <mergeCell ref="I3:I5"/>
    <mergeCell ref="C9:T9"/>
    <mergeCell ref="C14:T14"/>
  </mergeCells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BC715E-6CED-4067-814B-82109E208C91}">
  <sheetPr codeName="Sheet4"/>
  <dimension ref="B3:T48"/>
  <sheetViews>
    <sheetView workbookViewId="0">
      <selection activeCell="S27" sqref="S27"/>
    </sheetView>
  </sheetViews>
  <sheetFormatPr defaultRowHeight="14.25"/>
  <cols>
    <col min="1" max="7" width="9.06640625" style="3"/>
    <col min="8" max="8" width="12" style="3" customWidth="1"/>
    <col min="9" max="9" width="9.06640625" style="3"/>
    <col min="10" max="12" width="15.46484375" style="3" customWidth="1"/>
    <col min="13" max="13" width="17.46484375" style="3" customWidth="1"/>
    <col min="14" max="14" width="15.73046875" style="3" customWidth="1"/>
    <col min="15" max="15" width="13.265625" style="3" customWidth="1"/>
    <col min="16" max="16" width="14.46484375" style="3" customWidth="1"/>
    <col min="17" max="17" width="14.86328125" style="3" customWidth="1"/>
    <col min="18" max="18" width="16.1328125" style="3" customWidth="1"/>
    <col min="19" max="19" width="14.46484375" style="3" customWidth="1"/>
    <col min="20" max="20" width="13.73046875" style="3" customWidth="1"/>
    <col min="21" max="16384" width="9.06640625" style="3"/>
  </cols>
  <sheetData>
    <row r="3" spans="2:20">
      <c r="B3" s="175" t="s">
        <v>7</v>
      </c>
      <c r="C3" s="166" t="s">
        <v>8</v>
      </c>
      <c r="D3" s="167"/>
      <c r="E3" s="167"/>
      <c r="F3" s="167"/>
      <c r="G3" s="168"/>
      <c r="H3" s="175" t="s">
        <v>9</v>
      </c>
      <c r="I3" s="178" t="s">
        <v>10</v>
      </c>
      <c r="J3" s="166" t="s">
        <v>64</v>
      </c>
      <c r="K3" s="167"/>
      <c r="L3" s="167"/>
      <c r="M3" s="167"/>
      <c r="N3" s="167"/>
      <c r="O3" s="167"/>
      <c r="P3" s="167"/>
      <c r="Q3" s="167"/>
      <c r="R3" s="167"/>
      <c r="S3" s="168"/>
      <c r="T3" s="175" t="s">
        <v>65</v>
      </c>
    </row>
    <row r="4" spans="2:20">
      <c r="B4" s="176"/>
      <c r="C4" s="169"/>
      <c r="D4" s="170"/>
      <c r="E4" s="170"/>
      <c r="F4" s="170"/>
      <c r="G4" s="171"/>
      <c r="H4" s="176"/>
      <c r="I4" s="179"/>
      <c r="J4" s="175" t="s">
        <v>0</v>
      </c>
      <c r="K4" s="178" t="s">
        <v>67</v>
      </c>
      <c r="L4" s="178" t="s">
        <v>68</v>
      </c>
      <c r="M4" s="178" t="s">
        <v>1</v>
      </c>
      <c r="N4" s="184" t="s">
        <v>71</v>
      </c>
      <c r="O4" s="178" t="s">
        <v>3</v>
      </c>
      <c r="P4" s="184" t="s">
        <v>4</v>
      </c>
      <c r="Q4" s="178" t="s">
        <v>5</v>
      </c>
      <c r="R4" s="178" t="s">
        <v>6</v>
      </c>
      <c r="S4" s="178" t="s">
        <v>84</v>
      </c>
      <c r="T4" s="176"/>
    </row>
    <row r="5" spans="2:20">
      <c r="B5" s="177"/>
      <c r="C5" s="172"/>
      <c r="D5" s="173"/>
      <c r="E5" s="173"/>
      <c r="F5" s="173"/>
      <c r="G5" s="174"/>
      <c r="H5" s="177"/>
      <c r="I5" s="180"/>
      <c r="J5" s="177"/>
      <c r="K5" s="180"/>
      <c r="L5" s="180"/>
      <c r="M5" s="180"/>
      <c r="N5" s="185"/>
      <c r="O5" s="180"/>
      <c r="P5" s="185"/>
      <c r="Q5" s="180"/>
      <c r="R5" s="180"/>
      <c r="S5" s="180"/>
      <c r="T5" s="177"/>
    </row>
    <row r="6" spans="2:20">
      <c r="B6" s="17">
        <v>1</v>
      </c>
      <c r="C6" s="14" t="s">
        <v>12</v>
      </c>
      <c r="D6" s="15"/>
      <c r="E6" s="15"/>
      <c r="F6" s="15"/>
      <c r="G6" s="16"/>
      <c r="H6" s="17"/>
      <c r="I6" s="17"/>
      <c r="J6" s="13" t="s">
        <v>13</v>
      </c>
      <c r="K6" s="13" t="s">
        <v>13</v>
      </c>
      <c r="L6" s="13" t="s">
        <v>13</v>
      </c>
      <c r="M6" s="17" t="s">
        <v>13</v>
      </c>
      <c r="N6" s="17" t="s">
        <v>13</v>
      </c>
      <c r="O6" s="17" t="s">
        <v>13</v>
      </c>
      <c r="P6" s="17" t="s">
        <v>13</v>
      </c>
      <c r="Q6" s="17" t="s">
        <v>103</v>
      </c>
      <c r="R6" s="17" t="s">
        <v>13</v>
      </c>
      <c r="S6" s="17" t="s">
        <v>13</v>
      </c>
      <c r="T6" s="29" t="s">
        <v>13</v>
      </c>
    </row>
    <row r="7" spans="2:20">
      <c r="B7" s="17">
        <v>2</v>
      </c>
      <c r="C7" s="14" t="s">
        <v>14</v>
      </c>
      <c r="D7" s="15"/>
      <c r="E7" s="15"/>
      <c r="F7" s="15"/>
      <c r="G7" s="16"/>
      <c r="H7" s="17"/>
      <c r="I7" s="17"/>
      <c r="J7" s="13" t="s">
        <v>15</v>
      </c>
      <c r="K7" s="13" t="s">
        <v>15</v>
      </c>
      <c r="L7" s="13" t="s">
        <v>15</v>
      </c>
      <c r="M7" s="17" t="s">
        <v>16</v>
      </c>
      <c r="N7" s="17" t="s">
        <v>16</v>
      </c>
      <c r="O7" s="17" t="s">
        <v>15</v>
      </c>
      <c r="P7" s="17" t="s">
        <v>15</v>
      </c>
      <c r="Q7" s="17" t="s">
        <v>15</v>
      </c>
      <c r="R7" s="17" t="s">
        <v>15</v>
      </c>
      <c r="S7" s="17" t="s">
        <v>15</v>
      </c>
      <c r="T7" s="29" t="s">
        <v>15</v>
      </c>
    </row>
    <row r="8" spans="2:20">
      <c r="B8" s="17"/>
      <c r="C8" s="14"/>
      <c r="D8" s="15"/>
      <c r="E8" s="15"/>
      <c r="F8" s="15"/>
      <c r="G8" s="16"/>
      <c r="H8" s="17"/>
      <c r="I8" s="17"/>
      <c r="J8" s="17"/>
      <c r="K8" s="17"/>
      <c r="L8" s="17"/>
      <c r="M8" s="17"/>
      <c r="N8" s="17"/>
      <c r="O8" s="17"/>
      <c r="P8" s="17"/>
      <c r="Q8" s="17"/>
      <c r="R8" s="17"/>
      <c r="S8" s="17"/>
      <c r="T8" s="17"/>
    </row>
    <row r="9" spans="2:20">
      <c r="B9" s="18"/>
      <c r="C9" s="181" t="s">
        <v>17</v>
      </c>
      <c r="D9" s="181"/>
      <c r="E9" s="181"/>
      <c r="F9" s="181"/>
      <c r="G9" s="181"/>
      <c r="H9" s="181"/>
      <c r="I9" s="181"/>
      <c r="J9" s="181"/>
      <c r="K9" s="181"/>
      <c r="L9" s="181"/>
      <c r="M9" s="181"/>
      <c r="N9" s="181"/>
      <c r="O9" s="181"/>
      <c r="P9" s="181"/>
      <c r="Q9" s="181"/>
      <c r="R9" s="181"/>
      <c r="S9" s="181"/>
      <c r="T9" s="182"/>
    </row>
    <row r="10" spans="2:20" ht="15.4">
      <c r="B10" s="17">
        <v>1</v>
      </c>
      <c r="C10" s="14" t="s">
        <v>18</v>
      </c>
      <c r="D10" s="15"/>
      <c r="E10" s="15"/>
      <c r="F10" s="15"/>
      <c r="G10" s="16"/>
      <c r="H10" s="17" t="s">
        <v>19</v>
      </c>
      <c r="I10" s="17" t="s">
        <v>20</v>
      </c>
      <c r="J10" s="19">
        <v>31.634999999999998</v>
      </c>
      <c r="K10" s="19">
        <v>29.844999999999999</v>
      </c>
      <c r="L10" s="19">
        <v>29.715</v>
      </c>
      <c r="M10" s="19">
        <v>29.305</v>
      </c>
      <c r="N10" s="19">
        <v>30.009999999999998</v>
      </c>
      <c r="O10" s="19">
        <v>29.560000000000002</v>
      </c>
      <c r="P10" s="19">
        <v>30.265000000000001</v>
      </c>
      <c r="Q10" s="19">
        <v>29.939999999999998</v>
      </c>
      <c r="R10" s="19">
        <v>29.299999999999997</v>
      </c>
      <c r="S10" s="19">
        <v>29.060000000000002</v>
      </c>
      <c r="T10" s="30">
        <f>AVERAGE(J10:S10)</f>
        <v>29.863499999999998</v>
      </c>
    </row>
    <row r="11" spans="2:20">
      <c r="B11" s="17">
        <v>2</v>
      </c>
      <c r="C11" s="14" t="s">
        <v>21</v>
      </c>
      <c r="D11" s="15"/>
      <c r="E11" s="15"/>
      <c r="F11" s="15"/>
      <c r="G11" s="16"/>
      <c r="H11" s="17" t="s">
        <v>2</v>
      </c>
      <c r="I11" s="5">
        <v>1000</v>
      </c>
      <c r="J11" s="5">
        <v>128</v>
      </c>
      <c r="K11" s="5">
        <v>343</v>
      </c>
      <c r="L11" s="5">
        <v>475.5</v>
      </c>
      <c r="M11" s="5">
        <v>388</v>
      </c>
      <c r="N11" s="5">
        <v>358</v>
      </c>
      <c r="O11" s="5">
        <v>500</v>
      </c>
      <c r="P11" s="5">
        <v>569</v>
      </c>
      <c r="Q11" s="5">
        <v>573.5</v>
      </c>
      <c r="R11" s="5">
        <v>207.5</v>
      </c>
      <c r="S11" s="5">
        <v>128</v>
      </c>
      <c r="T11" s="30">
        <f>AVERAGE(J11:S11)</f>
        <v>367.05</v>
      </c>
    </row>
    <row r="12" spans="2:20">
      <c r="B12" s="17">
        <v>3</v>
      </c>
      <c r="C12" s="14" t="s">
        <v>22</v>
      </c>
      <c r="D12" s="15"/>
      <c r="E12" s="15"/>
      <c r="F12" s="15"/>
      <c r="G12" s="16"/>
      <c r="H12" s="17" t="s">
        <v>2</v>
      </c>
      <c r="I12" s="5">
        <v>50</v>
      </c>
      <c r="J12" s="6">
        <v>25</v>
      </c>
      <c r="K12" s="6">
        <v>104</v>
      </c>
      <c r="L12" s="6">
        <v>160</v>
      </c>
      <c r="M12" s="6">
        <v>75</v>
      </c>
      <c r="N12" s="6">
        <v>71</v>
      </c>
      <c r="O12" s="6">
        <v>128</v>
      </c>
      <c r="P12" s="6">
        <v>192</v>
      </c>
      <c r="Q12" s="6">
        <v>183</v>
      </c>
      <c r="R12" s="6">
        <v>62</v>
      </c>
      <c r="S12" s="6">
        <v>40</v>
      </c>
      <c r="T12" s="30">
        <f>AVERAGE(J12:S12)</f>
        <v>104</v>
      </c>
    </row>
    <row r="13" spans="2:20">
      <c r="B13" s="17"/>
      <c r="C13" s="14"/>
      <c r="D13" s="15"/>
      <c r="E13" s="15"/>
      <c r="F13" s="15"/>
      <c r="G13" s="16"/>
      <c r="H13" s="17"/>
      <c r="I13" s="17"/>
      <c r="J13" s="19"/>
      <c r="K13" s="19"/>
      <c r="L13" s="19"/>
      <c r="M13" s="19"/>
      <c r="N13" s="19"/>
      <c r="O13" s="19"/>
      <c r="P13" s="19"/>
      <c r="Q13" s="19"/>
      <c r="R13" s="19"/>
      <c r="S13" s="19"/>
      <c r="T13" s="19"/>
    </row>
    <row r="14" spans="2:20">
      <c r="B14" s="18"/>
      <c r="C14" s="181" t="s">
        <v>23</v>
      </c>
      <c r="D14" s="181"/>
      <c r="E14" s="181"/>
      <c r="F14" s="181"/>
      <c r="G14" s="181"/>
      <c r="H14" s="181"/>
      <c r="I14" s="181"/>
      <c r="J14" s="181"/>
      <c r="K14" s="181"/>
      <c r="L14" s="181"/>
      <c r="M14" s="181"/>
      <c r="N14" s="181"/>
      <c r="O14" s="181"/>
      <c r="P14" s="181"/>
      <c r="Q14" s="181"/>
      <c r="R14" s="181"/>
      <c r="S14" s="181"/>
      <c r="T14" s="182"/>
    </row>
    <row r="15" spans="2:20">
      <c r="B15" s="17">
        <v>1</v>
      </c>
      <c r="C15" s="14" t="s">
        <v>24</v>
      </c>
      <c r="D15" s="15"/>
      <c r="E15" s="15"/>
      <c r="F15" s="15"/>
      <c r="G15" s="16"/>
      <c r="H15" s="17" t="s">
        <v>25</v>
      </c>
      <c r="I15" s="4" t="s">
        <v>26</v>
      </c>
      <c r="J15" s="19">
        <v>7.6764999999999999</v>
      </c>
      <c r="K15" s="19">
        <v>7.375</v>
      </c>
      <c r="L15" s="19">
        <v>7.23</v>
      </c>
      <c r="M15" s="19">
        <v>5.7850000000000001</v>
      </c>
      <c r="N15" s="19">
        <v>5.27</v>
      </c>
      <c r="O15" s="19">
        <v>6.3049999999999997</v>
      </c>
      <c r="P15" s="19">
        <v>7.4649999999999999</v>
      </c>
      <c r="Q15" s="19">
        <v>6.625</v>
      </c>
      <c r="R15" s="19">
        <v>6</v>
      </c>
      <c r="S15" s="19">
        <v>6.3450000000000006</v>
      </c>
      <c r="T15" s="30">
        <f>AVERAGE(J15:S15)</f>
        <v>6.6076499999999996</v>
      </c>
    </row>
    <row r="16" spans="2:20">
      <c r="B16" s="17">
        <v>2</v>
      </c>
      <c r="C16" s="14" t="s">
        <v>27</v>
      </c>
      <c r="D16" s="15"/>
      <c r="E16" s="15"/>
      <c r="F16" s="15"/>
      <c r="G16" s="16"/>
      <c r="H16" s="17" t="s">
        <v>2</v>
      </c>
      <c r="I16" s="20" t="s">
        <v>25</v>
      </c>
      <c r="J16" s="8" t="s">
        <v>25</v>
      </c>
      <c r="K16" s="8" t="s">
        <v>25</v>
      </c>
      <c r="L16" s="8" t="s">
        <v>25</v>
      </c>
      <c r="M16" s="8" t="s">
        <v>25</v>
      </c>
      <c r="N16" s="8" t="s">
        <v>25</v>
      </c>
      <c r="O16" s="8" t="s">
        <v>25</v>
      </c>
      <c r="P16" s="8" t="s">
        <v>25</v>
      </c>
      <c r="Q16" s="8" t="s">
        <v>25</v>
      </c>
      <c r="R16" s="8" t="s">
        <v>25</v>
      </c>
      <c r="S16" s="8" t="s">
        <v>25</v>
      </c>
      <c r="T16" s="30" t="s">
        <v>25</v>
      </c>
    </row>
    <row r="17" spans="2:20">
      <c r="B17" s="17">
        <v>3</v>
      </c>
      <c r="C17" s="14" t="s">
        <v>28</v>
      </c>
      <c r="D17" s="15"/>
      <c r="E17" s="15"/>
      <c r="F17" s="15"/>
      <c r="G17" s="16"/>
      <c r="H17" s="17" t="s">
        <v>2</v>
      </c>
      <c r="I17" s="20" t="s">
        <v>25</v>
      </c>
      <c r="J17" s="9" t="s">
        <v>25</v>
      </c>
      <c r="K17" s="9" t="s">
        <v>25</v>
      </c>
      <c r="L17" s="9" t="s">
        <v>25</v>
      </c>
      <c r="M17" s="9" t="s">
        <v>25</v>
      </c>
      <c r="N17" s="9" t="s">
        <v>25</v>
      </c>
      <c r="O17" s="9" t="s">
        <v>25</v>
      </c>
      <c r="P17" s="9" t="s">
        <v>25</v>
      </c>
      <c r="Q17" s="9" t="s">
        <v>25</v>
      </c>
      <c r="R17" s="9" t="s">
        <v>25</v>
      </c>
      <c r="S17" s="9" t="s">
        <v>25</v>
      </c>
      <c r="T17" s="30" t="s">
        <v>25</v>
      </c>
    </row>
    <row r="18" spans="2:20">
      <c r="B18" s="17">
        <v>4</v>
      </c>
      <c r="C18" s="14" t="s">
        <v>29</v>
      </c>
      <c r="D18" s="15"/>
      <c r="E18" s="15"/>
      <c r="F18" s="15"/>
      <c r="G18" s="16"/>
      <c r="H18" s="17" t="s">
        <v>2</v>
      </c>
      <c r="I18" s="6">
        <v>1.5</v>
      </c>
      <c r="J18" s="9" t="s">
        <v>25</v>
      </c>
      <c r="K18" s="9" t="s">
        <v>25</v>
      </c>
      <c r="L18" s="9" t="s">
        <v>25</v>
      </c>
      <c r="M18" s="9" t="s">
        <v>25</v>
      </c>
      <c r="N18" s="9" t="s">
        <v>25</v>
      </c>
      <c r="O18" s="9" t="s">
        <v>25</v>
      </c>
      <c r="P18" s="9" t="s">
        <v>25</v>
      </c>
      <c r="Q18" s="9" t="s">
        <v>25</v>
      </c>
      <c r="R18" s="9" t="s">
        <v>25</v>
      </c>
      <c r="S18" s="9" t="s">
        <v>25</v>
      </c>
      <c r="T18" s="30" t="s">
        <v>25</v>
      </c>
    </row>
    <row r="19" spans="2:20">
      <c r="B19" s="17">
        <v>5</v>
      </c>
      <c r="C19" s="14" t="s">
        <v>30</v>
      </c>
      <c r="D19" s="15"/>
      <c r="E19" s="15"/>
      <c r="F19" s="15"/>
      <c r="G19" s="16"/>
      <c r="H19" s="17" t="s">
        <v>2</v>
      </c>
      <c r="I19" s="7">
        <v>0.01</v>
      </c>
      <c r="J19" s="8" t="s">
        <v>25</v>
      </c>
      <c r="K19" s="8" t="s">
        <v>25</v>
      </c>
      <c r="L19" s="8" t="s">
        <v>25</v>
      </c>
      <c r="M19" s="8" t="s">
        <v>25</v>
      </c>
      <c r="N19" s="8" t="s">
        <v>25</v>
      </c>
      <c r="O19" s="8" t="s">
        <v>25</v>
      </c>
      <c r="P19" s="8" t="s">
        <v>25</v>
      </c>
      <c r="Q19" s="8" t="s">
        <v>25</v>
      </c>
      <c r="R19" s="8" t="s">
        <v>25</v>
      </c>
      <c r="S19" s="8" t="s">
        <v>25</v>
      </c>
      <c r="T19" s="30" t="s">
        <v>25</v>
      </c>
    </row>
    <row r="20" spans="2:20" ht="15.4">
      <c r="B20" s="17">
        <v>6</v>
      </c>
      <c r="C20" s="14" t="s">
        <v>31</v>
      </c>
      <c r="D20" s="15"/>
      <c r="E20" s="15"/>
      <c r="F20" s="15"/>
      <c r="G20" s="16"/>
      <c r="H20" s="17" t="s">
        <v>2</v>
      </c>
      <c r="I20" s="5">
        <v>600</v>
      </c>
      <c r="J20" s="7">
        <v>5.75</v>
      </c>
      <c r="K20" s="7">
        <v>22.75</v>
      </c>
      <c r="L20" s="7">
        <v>30.5</v>
      </c>
      <c r="M20" s="7">
        <v>29.245000000000001</v>
      </c>
      <c r="N20" s="7">
        <v>23.25</v>
      </c>
      <c r="O20" s="7">
        <v>29.5</v>
      </c>
      <c r="P20" s="7">
        <v>26</v>
      </c>
      <c r="Q20" s="7">
        <v>29</v>
      </c>
      <c r="R20" s="7">
        <v>2.75</v>
      </c>
      <c r="S20" s="7">
        <v>1.5</v>
      </c>
      <c r="T20" s="30">
        <f>AVERAGE(J20:S20)</f>
        <v>20.0245</v>
      </c>
    </row>
    <row r="21" spans="2:20">
      <c r="B21" s="17">
        <v>7</v>
      </c>
      <c r="C21" s="14" t="s">
        <v>32</v>
      </c>
      <c r="D21" s="15"/>
      <c r="E21" s="15"/>
      <c r="F21" s="15"/>
      <c r="G21" s="16"/>
      <c r="H21" s="17" t="s">
        <v>2</v>
      </c>
      <c r="I21" s="7">
        <v>0.03</v>
      </c>
      <c r="J21" s="6" t="s">
        <v>25</v>
      </c>
      <c r="K21" s="6" t="s">
        <v>25</v>
      </c>
      <c r="L21" s="6" t="s">
        <v>25</v>
      </c>
      <c r="M21" s="6" t="s">
        <v>25</v>
      </c>
      <c r="N21" s="6" t="s">
        <v>25</v>
      </c>
      <c r="O21" s="6" t="s">
        <v>25</v>
      </c>
      <c r="P21" s="6" t="s">
        <v>25</v>
      </c>
      <c r="Q21" s="6" t="s">
        <v>25</v>
      </c>
      <c r="R21" s="6" t="s">
        <v>25</v>
      </c>
      <c r="S21" s="6" t="s">
        <v>25</v>
      </c>
      <c r="T21" s="30" t="s">
        <v>25</v>
      </c>
    </row>
    <row r="22" spans="2:20">
      <c r="B22" s="17">
        <v>8</v>
      </c>
      <c r="C22" s="14" t="s">
        <v>33</v>
      </c>
      <c r="D22" s="15"/>
      <c r="E22" s="15"/>
      <c r="F22" s="15"/>
      <c r="G22" s="16"/>
      <c r="H22" s="17" t="s">
        <v>2</v>
      </c>
      <c r="I22" s="7">
        <v>0.05</v>
      </c>
      <c r="J22" s="8" t="s">
        <v>25</v>
      </c>
      <c r="K22" s="8" t="s">
        <v>25</v>
      </c>
      <c r="L22" s="8" t="s">
        <v>25</v>
      </c>
      <c r="M22" s="8" t="s">
        <v>25</v>
      </c>
      <c r="N22" s="8" t="s">
        <v>25</v>
      </c>
      <c r="O22" s="8" t="s">
        <v>25</v>
      </c>
      <c r="P22" s="8" t="s">
        <v>25</v>
      </c>
      <c r="Q22" s="8" t="s">
        <v>25</v>
      </c>
      <c r="R22" s="8" t="s">
        <v>25</v>
      </c>
      <c r="S22" s="8" t="s">
        <v>25</v>
      </c>
      <c r="T22" s="30" t="s">
        <v>25</v>
      </c>
    </row>
    <row r="23" spans="2:20">
      <c r="B23" s="17">
        <v>9</v>
      </c>
      <c r="C23" s="14" t="s">
        <v>34</v>
      </c>
      <c r="D23" s="15"/>
      <c r="E23" s="15"/>
      <c r="F23" s="15"/>
      <c r="G23" s="16"/>
      <c r="H23" s="17" t="s">
        <v>2</v>
      </c>
      <c r="I23" s="20" t="s">
        <v>25</v>
      </c>
      <c r="J23" s="8" t="s">
        <v>25</v>
      </c>
      <c r="K23" s="8" t="s">
        <v>25</v>
      </c>
      <c r="L23" s="8" t="s">
        <v>25</v>
      </c>
      <c r="M23" s="8" t="s">
        <v>25</v>
      </c>
      <c r="N23" s="8" t="s">
        <v>25</v>
      </c>
      <c r="O23" s="8" t="s">
        <v>25</v>
      </c>
      <c r="P23" s="8" t="s">
        <v>25</v>
      </c>
      <c r="Q23" s="8" t="s">
        <v>25</v>
      </c>
      <c r="R23" s="8" t="s">
        <v>25</v>
      </c>
      <c r="S23" s="8" t="s">
        <v>25</v>
      </c>
      <c r="T23" s="30" t="s">
        <v>25</v>
      </c>
    </row>
    <row r="24" spans="2:20" ht="15.75">
      <c r="B24" s="17">
        <v>10</v>
      </c>
      <c r="C24" s="14" t="s">
        <v>35</v>
      </c>
      <c r="D24" s="15"/>
      <c r="E24" s="15"/>
      <c r="F24" s="15"/>
      <c r="G24" s="16"/>
      <c r="H24" s="17" t="s">
        <v>2</v>
      </c>
      <c r="I24" s="5">
        <v>10</v>
      </c>
      <c r="J24" s="9" t="s">
        <v>25</v>
      </c>
      <c r="K24" s="9" t="s">
        <v>25</v>
      </c>
      <c r="L24" s="9" t="s">
        <v>25</v>
      </c>
      <c r="M24" s="9" t="s">
        <v>25</v>
      </c>
      <c r="N24" s="9" t="s">
        <v>25</v>
      </c>
      <c r="O24" s="9" t="s">
        <v>25</v>
      </c>
      <c r="P24" s="9" t="s">
        <v>25</v>
      </c>
      <c r="Q24" s="9" t="s">
        <v>25</v>
      </c>
      <c r="R24" s="9" t="s">
        <v>25</v>
      </c>
      <c r="S24" s="9" t="s">
        <v>25</v>
      </c>
      <c r="T24" s="30" t="s">
        <v>25</v>
      </c>
    </row>
    <row r="25" spans="2:20" ht="15.75">
      <c r="B25" s="17">
        <v>11</v>
      </c>
      <c r="C25" s="14" t="s">
        <v>36</v>
      </c>
      <c r="D25" s="15"/>
      <c r="E25" s="15"/>
      <c r="F25" s="15"/>
      <c r="G25" s="16"/>
      <c r="H25" s="17" t="s">
        <v>2</v>
      </c>
      <c r="I25" s="7">
        <v>0.06</v>
      </c>
      <c r="J25" s="9" t="s">
        <v>25</v>
      </c>
      <c r="K25" s="9" t="s">
        <v>25</v>
      </c>
      <c r="L25" s="9" t="s">
        <v>25</v>
      </c>
      <c r="M25" s="9" t="s">
        <v>25</v>
      </c>
      <c r="N25" s="9" t="s">
        <v>25</v>
      </c>
      <c r="O25" s="9" t="s">
        <v>25</v>
      </c>
      <c r="P25" s="9" t="s">
        <v>25</v>
      </c>
      <c r="Q25" s="9" t="s">
        <v>25</v>
      </c>
      <c r="R25" s="9" t="s">
        <v>25</v>
      </c>
      <c r="S25" s="9" t="s">
        <v>25</v>
      </c>
      <c r="T25" s="30" t="s">
        <v>25</v>
      </c>
    </row>
    <row r="26" spans="2:20">
      <c r="B26" s="17">
        <v>12</v>
      </c>
      <c r="C26" s="14" t="s">
        <v>37</v>
      </c>
      <c r="D26" s="15"/>
      <c r="E26" s="15"/>
      <c r="F26" s="15"/>
      <c r="G26" s="16"/>
      <c r="H26" s="17" t="s">
        <v>2</v>
      </c>
      <c r="I26" s="5" t="s">
        <v>38</v>
      </c>
      <c r="J26" s="7">
        <v>5.7349999999999994</v>
      </c>
      <c r="K26" s="7">
        <v>4.32</v>
      </c>
      <c r="L26" s="7">
        <v>4.4649999999999999</v>
      </c>
      <c r="M26" s="7">
        <v>3.9699999999999998</v>
      </c>
      <c r="N26" s="7">
        <v>3.9849999999999999</v>
      </c>
      <c r="O26" s="7">
        <v>4.3249999999999993</v>
      </c>
      <c r="P26" s="7">
        <v>5.1850000000000005</v>
      </c>
      <c r="Q26" s="7">
        <v>3.6049999999999995</v>
      </c>
      <c r="R26" s="7">
        <v>5.45</v>
      </c>
      <c r="S26" s="7">
        <v>7.3550000000000004</v>
      </c>
      <c r="T26" s="30">
        <f>AVERAGE(J26:S26)</f>
        <v>4.8394999999999992</v>
      </c>
    </row>
    <row r="27" spans="2:20">
      <c r="B27" s="17">
        <v>13</v>
      </c>
      <c r="C27" s="14" t="s">
        <v>39</v>
      </c>
      <c r="D27" s="15"/>
      <c r="E27" s="15"/>
      <c r="F27" s="15"/>
      <c r="G27" s="16"/>
      <c r="H27" s="17" t="s">
        <v>2</v>
      </c>
      <c r="I27" s="5">
        <v>3</v>
      </c>
      <c r="J27" s="7">
        <v>2.29</v>
      </c>
      <c r="K27" s="7">
        <v>2.09</v>
      </c>
      <c r="L27" s="7">
        <v>2.895</v>
      </c>
      <c r="M27" s="7">
        <v>2.17</v>
      </c>
      <c r="N27" s="7">
        <v>2.1500000000000004</v>
      </c>
      <c r="O27" s="7">
        <v>4.4399999999999995</v>
      </c>
      <c r="P27" s="7">
        <v>3.0350000000000001</v>
      </c>
      <c r="Q27" s="7">
        <v>9.91</v>
      </c>
      <c r="R27" s="7">
        <v>5.0049999999999999</v>
      </c>
      <c r="S27" s="7">
        <v>4.04</v>
      </c>
      <c r="T27" s="30">
        <f>AVERAGE(J27:S27)</f>
        <v>3.8024999999999998</v>
      </c>
    </row>
    <row r="28" spans="2:20">
      <c r="B28" s="17">
        <v>14</v>
      </c>
      <c r="C28" s="14" t="s">
        <v>40</v>
      </c>
      <c r="D28" s="15"/>
      <c r="E28" s="15"/>
      <c r="F28" s="15"/>
      <c r="G28" s="16"/>
      <c r="H28" s="17" t="s">
        <v>2</v>
      </c>
      <c r="I28" s="5">
        <v>25</v>
      </c>
      <c r="J28" s="7">
        <v>3.915</v>
      </c>
      <c r="K28" s="7">
        <v>3.6950000000000003</v>
      </c>
      <c r="L28" s="7">
        <v>4.13</v>
      </c>
      <c r="M28" s="7">
        <v>3.4799999999999995</v>
      </c>
      <c r="N28" s="7">
        <v>3.6949999999999998</v>
      </c>
      <c r="O28" s="7">
        <v>7.8250000000000002</v>
      </c>
      <c r="P28" s="7">
        <v>4.3499999999999996</v>
      </c>
      <c r="Q28" s="7">
        <v>12.175000000000001</v>
      </c>
      <c r="R28" s="7">
        <v>7.8250000000000002</v>
      </c>
      <c r="S28" s="7">
        <v>7.61</v>
      </c>
      <c r="T28" s="30">
        <f>AVERAGE(J28:S28)</f>
        <v>5.87</v>
      </c>
    </row>
    <row r="29" spans="2:20">
      <c r="B29" s="17">
        <v>15</v>
      </c>
      <c r="C29" s="14" t="s">
        <v>41</v>
      </c>
      <c r="D29" s="15"/>
      <c r="E29" s="15"/>
      <c r="F29" s="15"/>
      <c r="G29" s="16"/>
      <c r="H29" s="17" t="s">
        <v>2</v>
      </c>
      <c r="I29" s="7">
        <v>0.05</v>
      </c>
      <c r="J29" s="9" t="s">
        <v>25</v>
      </c>
      <c r="K29" s="9" t="s">
        <v>25</v>
      </c>
      <c r="L29" s="9" t="s">
        <v>25</v>
      </c>
      <c r="M29" s="9" t="s">
        <v>25</v>
      </c>
      <c r="N29" s="9" t="s">
        <v>25</v>
      </c>
      <c r="O29" s="9" t="s">
        <v>25</v>
      </c>
      <c r="P29" s="9" t="s">
        <v>25</v>
      </c>
      <c r="Q29" s="9" t="s">
        <v>25</v>
      </c>
      <c r="R29" s="9" t="s">
        <v>25</v>
      </c>
      <c r="S29" s="9" t="s">
        <v>25</v>
      </c>
      <c r="T29" s="30" t="s">
        <v>25</v>
      </c>
    </row>
    <row r="30" spans="2:20">
      <c r="B30" s="17">
        <v>16</v>
      </c>
      <c r="C30" s="14" t="s">
        <v>42</v>
      </c>
      <c r="D30" s="15"/>
      <c r="E30" s="15"/>
      <c r="F30" s="15"/>
      <c r="G30" s="16"/>
      <c r="H30" s="17" t="s">
        <v>2</v>
      </c>
      <c r="I30" s="7">
        <v>0.02</v>
      </c>
      <c r="J30" s="6" t="s">
        <v>25</v>
      </c>
      <c r="K30" s="6" t="s">
        <v>25</v>
      </c>
      <c r="L30" s="6" t="s">
        <v>25</v>
      </c>
      <c r="M30" s="6" t="s">
        <v>25</v>
      </c>
      <c r="N30" s="6" t="s">
        <v>25</v>
      </c>
      <c r="O30" s="6" t="s">
        <v>25</v>
      </c>
      <c r="P30" s="6" t="s">
        <v>25</v>
      </c>
      <c r="Q30" s="6" t="s">
        <v>25</v>
      </c>
      <c r="R30" s="6" t="s">
        <v>25</v>
      </c>
      <c r="S30" s="6" t="s">
        <v>25</v>
      </c>
      <c r="T30" s="30" t="s">
        <v>25</v>
      </c>
    </row>
    <row r="31" spans="2:20" ht="15.75">
      <c r="B31" s="17">
        <v>17</v>
      </c>
      <c r="C31" s="14" t="s">
        <v>43</v>
      </c>
      <c r="D31" s="15"/>
      <c r="E31" s="15"/>
      <c r="F31" s="15"/>
      <c r="G31" s="16"/>
      <c r="H31" s="17" t="s">
        <v>2</v>
      </c>
      <c r="I31" s="20" t="s">
        <v>25</v>
      </c>
      <c r="J31" s="9" t="s">
        <v>25</v>
      </c>
      <c r="K31" s="9" t="s">
        <v>25</v>
      </c>
      <c r="L31" s="9" t="s">
        <v>25</v>
      </c>
      <c r="M31" s="9" t="s">
        <v>25</v>
      </c>
      <c r="N31" s="9" t="s">
        <v>25</v>
      </c>
      <c r="O31" s="9" t="s">
        <v>25</v>
      </c>
      <c r="P31" s="9" t="s">
        <v>25</v>
      </c>
      <c r="Q31" s="9" t="s">
        <v>25</v>
      </c>
      <c r="R31" s="9" t="s">
        <v>25</v>
      </c>
      <c r="S31" s="9" t="s">
        <v>25</v>
      </c>
      <c r="T31" s="30" t="s">
        <v>25</v>
      </c>
    </row>
    <row r="32" spans="2:20" ht="15.75">
      <c r="B32" s="17">
        <v>18</v>
      </c>
      <c r="C32" s="14" t="s">
        <v>44</v>
      </c>
      <c r="D32" s="15"/>
      <c r="E32" s="15"/>
      <c r="F32" s="15"/>
      <c r="G32" s="16"/>
      <c r="H32" s="17" t="s">
        <v>2</v>
      </c>
      <c r="I32" s="9">
        <v>2E-3</v>
      </c>
      <c r="J32" s="8" t="s">
        <v>25</v>
      </c>
      <c r="K32" s="8" t="s">
        <v>25</v>
      </c>
      <c r="L32" s="8" t="s">
        <v>25</v>
      </c>
      <c r="M32" s="8" t="s">
        <v>25</v>
      </c>
      <c r="N32" s="8" t="s">
        <v>25</v>
      </c>
      <c r="O32" s="8" t="s">
        <v>25</v>
      </c>
      <c r="P32" s="8" t="s">
        <v>25</v>
      </c>
      <c r="Q32" s="8" t="s">
        <v>25</v>
      </c>
      <c r="R32" s="8" t="s">
        <v>25</v>
      </c>
      <c r="S32" s="8" t="s">
        <v>25</v>
      </c>
      <c r="T32" s="30" t="s">
        <v>25</v>
      </c>
    </row>
    <row r="33" spans="2:20">
      <c r="B33" s="17">
        <v>19</v>
      </c>
      <c r="C33" s="14" t="s">
        <v>45</v>
      </c>
      <c r="D33" s="15"/>
      <c r="E33" s="15"/>
      <c r="F33" s="15"/>
      <c r="G33" s="16"/>
      <c r="H33" s="17" t="s">
        <v>2</v>
      </c>
      <c r="I33" s="7">
        <v>0.02</v>
      </c>
      <c r="J33" s="8" t="s">
        <v>25</v>
      </c>
      <c r="K33" s="8" t="s">
        <v>25</v>
      </c>
      <c r="L33" s="8" t="s">
        <v>25</v>
      </c>
      <c r="M33" s="8" t="s">
        <v>25</v>
      </c>
      <c r="N33" s="8" t="s">
        <v>25</v>
      </c>
      <c r="O33" s="8" t="s">
        <v>25</v>
      </c>
      <c r="P33" s="8" t="s">
        <v>25</v>
      </c>
      <c r="Q33" s="8" t="s">
        <v>25</v>
      </c>
      <c r="R33" s="8" t="s">
        <v>25</v>
      </c>
      <c r="S33" s="8" t="s">
        <v>25</v>
      </c>
      <c r="T33" s="30" t="s">
        <v>25</v>
      </c>
    </row>
    <row r="34" spans="2:20">
      <c r="B34" s="17">
        <v>20</v>
      </c>
      <c r="C34" s="14" t="s">
        <v>46</v>
      </c>
      <c r="D34" s="15"/>
      <c r="E34" s="15"/>
      <c r="F34" s="15"/>
      <c r="G34" s="16"/>
      <c r="H34" s="17" t="s">
        <v>2</v>
      </c>
      <c r="I34" s="7">
        <v>0.03</v>
      </c>
      <c r="J34" s="8" t="s">
        <v>25</v>
      </c>
      <c r="K34" s="8" t="s">
        <v>25</v>
      </c>
      <c r="L34" s="8" t="s">
        <v>25</v>
      </c>
      <c r="M34" s="8" t="s">
        <v>25</v>
      </c>
      <c r="N34" s="8" t="s">
        <v>25</v>
      </c>
      <c r="O34" s="8" t="s">
        <v>25</v>
      </c>
      <c r="P34" s="8" t="s">
        <v>25</v>
      </c>
      <c r="Q34" s="8" t="s">
        <v>25</v>
      </c>
      <c r="R34" s="8" t="s">
        <v>25</v>
      </c>
      <c r="S34" s="8" t="s">
        <v>25</v>
      </c>
      <c r="T34" s="30" t="s">
        <v>25</v>
      </c>
    </row>
    <row r="35" spans="2:20" ht="15.75">
      <c r="B35" s="17">
        <v>21</v>
      </c>
      <c r="C35" s="14" t="s">
        <v>47</v>
      </c>
      <c r="D35" s="15"/>
      <c r="E35" s="15"/>
      <c r="F35" s="15"/>
      <c r="G35" s="16"/>
      <c r="H35" s="17" t="s">
        <v>2</v>
      </c>
      <c r="I35" s="6">
        <v>0.2</v>
      </c>
      <c r="J35" s="8" t="s">
        <v>25</v>
      </c>
      <c r="K35" s="8" t="s">
        <v>25</v>
      </c>
      <c r="L35" s="8" t="s">
        <v>25</v>
      </c>
      <c r="M35" s="8" t="s">
        <v>25</v>
      </c>
      <c r="N35" s="8" t="s">
        <v>25</v>
      </c>
      <c r="O35" s="8" t="s">
        <v>25</v>
      </c>
      <c r="P35" s="8" t="s">
        <v>25</v>
      </c>
      <c r="Q35" s="8" t="s">
        <v>25</v>
      </c>
      <c r="R35" s="8" t="s">
        <v>25</v>
      </c>
      <c r="S35" s="8" t="s">
        <v>25</v>
      </c>
      <c r="T35" s="30" t="s">
        <v>25</v>
      </c>
    </row>
    <row r="36" spans="2:20">
      <c r="B36" s="17">
        <v>22</v>
      </c>
      <c r="C36" s="14" t="s">
        <v>48</v>
      </c>
      <c r="D36" s="15"/>
      <c r="E36" s="15"/>
      <c r="F36" s="15"/>
      <c r="G36" s="16"/>
      <c r="H36" s="17" t="s">
        <v>2</v>
      </c>
      <c r="I36" s="9">
        <v>1E-3</v>
      </c>
      <c r="J36" s="8" t="s">
        <v>25</v>
      </c>
      <c r="K36" s="8" t="s">
        <v>25</v>
      </c>
      <c r="L36" s="8" t="s">
        <v>25</v>
      </c>
      <c r="M36" s="8" t="s">
        <v>25</v>
      </c>
      <c r="N36" s="8" t="s">
        <v>25</v>
      </c>
      <c r="O36" s="8" t="s">
        <v>25</v>
      </c>
      <c r="P36" s="8" t="s">
        <v>25</v>
      </c>
      <c r="Q36" s="8" t="s">
        <v>25</v>
      </c>
      <c r="R36" s="8" t="s">
        <v>25</v>
      </c>
      <c r="S36" s="8" t="s">
        <v>25</v>
      </c>
      <c r="T36" s="30" t="s">
        <v>25</v>
      </c>
    </row>
    <row r="37" spans="2:20">
      <c r="B37" s="17">
        <v>23</v>
      </c>
      <c r="C37" s="14" t="s">
        <v>49</v>
      </c>
      <c r="D37" s="15"/>
      <c r="E37" s="15"/>
      <c r="F37" s="15"/>
      <c r="G37" s="16"/>
      <c r="H37" s="17" t="s">
        <v>2</v>
      </c>
      <c r="I37" s="5">
        <v>1</v>
      </c>
      <c r="J37" s="9" t="s">
        <v>25</v>
      </c>
      <c r="K37" s="9" t="s">
        <v>25</v>
      </c>
      <c r="L37" s="9" t="s">
        <v>25</v>
      </c>
      <c r="M37" s="9" t="s">
        <v>25</v>
      </c>
      <c r="N37" s="9" t="s">
        <v>25</v>
      </c>
      <c r="O37" s="9" t="s">
        <v>25</v>
      </c>
      <c r="P37" s="9" t="s">
        <v>25</v>
      </c>
      <c r="Q37" s="9" t="s">
        <v>25</v>
      </c>
      <c r="R37" s="9" t="s">
        <v>25</v>
      </c>
      <c r="S37" s="9" t="s">
        <v>25</v>
      </c>
      <c r="T37" s="30" t="s">
        <v>25</v>
      </c>
    </row>
    <row r="38" spans="2:20">
      <c r="B38" s="17">
        <v>24</v>
      </c>
      <c r="C38" s="14" t="s">
        <v>50</v>
      </c>
      <c r="D38" s="15"/>
      <c r="E38" s="15"/>
      <c r="F38" s="15"/>
      <c r="G38" s="16"/>
      <c r="H38" s="17" t="s">
        <v>2</v>
      </c>
      <c r="I38" s="6">
        <v>0.2</v>
      </c>
      <c r="J38" s="9">
        <v>4.2815000000000006E-2</v>
      </c>
      <c r="K38" s="9">
        <v>2.6579999999999999E-2</v>
      </c>
      <c r="L38" s="9">
        <v>2.5000000000000001E-2</v>
      </c>
      <c r="M38" s="9">
        <v>3.6320000000000005E-2</v>
      </c>
      <c r="N38" s="9">
        <v>3.7945000000000007E-2</v>
      </c>
      <c r="O38" s="9">
        <v>0.11257</v>
      </c>
      <c r="P38" s="9">
        <v>0.56867500000000004</v>
      </c>
      <c r="Q38" s="9">
        <v>0.42425499999999999</v>
      </c>
      <c r="R38" s="9">
        <v>2.5000000000000001E-2</v>
      </c>
      <c r="S38" s="9">
        <v>2.5000000000000001E-2</v>
      </c>
      <c r="T38" s="30">
        <f>AVERAGE(J38:S38)</f>
        <v>0.13241600000000001</v>
      </c>
    </row>
    <row r="39" spans="2:20">
      <c r="B39" s="17">
        <v>25</v>
      </c>
      <c r="C39" s="14" t="s">
        <v>51</v>
      </c>
      <c r="D39" s="15"/>
      <c r="E39" s="15"/>
      <c r="F39" s="15"/>
      <c r="G39" s="16"/>
      <c r="H39" s="17" t="s">
        <v>2</v>
      </c>
      <c r="I39" s="7">
        <v>0.05</v>
      </c>
      <c r="J39" s="8" t="s">
        <v>25</v>
      </c>
      <c r="K39" s="8" t="s">
        <v>25</v>
      </c>
      <c r="L39" s="8" t="s">
        <v>25</v>
      </c>
      <c r="M39" s="8" t="s">
        <v>25</v>
      </c>
      <c r="N39" s="8" t="s">
        <v>25</v>
      </c>
      <c r="O39" s="8" t="s">
        <v>25</v>
      </c>
      <c r="P39" s="8" t="s">
        <v>25</v>
      </c>
      <c r="Q39" s="8" t="s">
        <v>25</v>
      </c>
      <c r="R39" s="8" t="s">
        <v>25</v>
      </c>
      <c r="S39" s="8" t="s">
        <v>25</v>
      </c>
      <c r="T39" s="30" t="s">
        <v>25</v>
      </c>
    </row>
    <row r="40" spans="2:20">
      <c r="B40" s="17">
        <v>26</v>
      </c>
      <c r="C40" s="14" t="s">
        <v>52</v>
      </c>
      <c r="D40" s="15"/>
      <c r="E40" s="15"/>
      <c r="F40" s="15"/>
      <c r="G40" s="16"/>
      <c r="H40" s="17" t="s">
        <v>53</v>
      </c>
      <c r="I40" s="17" t="s">
        <v>54</v>
      </c>
      <c r="J40" s="12">
        <v>56.45</v>
      </c>
      <c r="K40" s="12">
        <v>86.5</v>
      </c>
      <c r="L40" s="12">
        <v>130</v>
      </c>
      <c r="M40" s="6">
        <v>62.05</v>
      </c>
      <c r="N40" s="6">
        <v>80.900000000000006</v>
      </c>
      <c r="O40" s="6">
        <v>100.25</v>
      </c>
      <c r="P40" s="6">
        <v>140.5</v>
      </c>
      <c r="Q40" s="6">
        <v>152.35</v>
      </c>
      <c r="R40" s="6">
        <v>15.014999999999999</v>
      </c>
      <c r="S40" s="6">
        <v>68.599999999999994</v>
      </c>
      <c r="T40" s="30">
        <f>AVERAGE(J40:S40)</f>
        <v>89.261499999999998</v>
      </c>
    </row>
    <row r="41" spans="2:20">
      <c r="B41" s="17">
        <v>27</v>
      </c>
      <c r="C41" s="14" t="s">
        <v>55</v>
      </c>
      <c r="D41" s="15"/>
      <c r="E41" s="15"/>
      <c r="F41" s="15"/>
      <c r="G41" s="16"/>
      <c r="H41" s="21" t="s">
        <v>56</v>
      </c>
      <c r="I41" s="17" t="s">
        <v>54</v>
      </c>
      <c r="J41" s="9">
        <v>0.19650000000000001</v>
      </c>
      <c r="K41" s="9">
        <v>0.53200000000000003</v>
      </c>
      <c r="L41" s="9">
        <v>0.74249999999999994</v>
      </c>
      <c r="M41" s="9">
        <v>0.60599999999999998</v>
      </c>
      <c r="N41" s="9">
        <v>0.5595</v>
      </c>
      <c r="O41" s="9">
        <v>0.78</v>
      </c>
      <c r="P41" s="9">
        <v>0.88749999999999996</v>
      </c>
      <c r="Q41" s="9">
        <v>0.89850000000000008</v>
      </c>
      <c r="R41" s="9">
        <v>0.31950000000000001</v>
      </c>
      <c r="S41" s="9">
        <v>0.19699999999999998</v>
      </c>
      <c r="T41" s="30">
        <f>AVERAGE(J41:S41)</f>
        <v>0.57190000000000007</v>
      </c>
    </row>
    <row r="42" spans="2:20">
      <c r="B42" s="17"/>
      <c r="C42" s="14"/>
      <c r="D42" s="15"/>
      <c r="E42" s="15"/>
      <c r="F42" s="15"/>
      <c r="G42" s="16"/>
      <c r="H42" s="21"/>
      <c r="I42" s="17"/>
      <c r="J42" s="9"/>
      <c r="K42" s="9"/>
      <c r="L42" s="9"/>
      <c r="M42" s="9"/>
      <c r="N42" s="9"/>
      <c r="O42" s="9"/>
      <c r="P42" s="9"/>
      <c r="Q42" s="9"/>
      <c r="R42" s="9"/>
      <c r="S42" s="9"/>
      <c r="T42" s="9"/>
    </row>
    <row r="43" spans="2:20">
      <c r="B43" s="18"/>
      <c r="C43" s="181" t="s">
        <v>57</v>
      </c>
      <c r="D43" s="181"/>
      <c r="E43" s="181"/>
      <c r="F43" s="181"/>
      <c r="G43" s="181"/>
      <c r="H43" s="181"/>
      <c r="I43" s="181"/>
      <c r="J43" s="181"/>
      <c r="K43" s="181"/>
      <c r="L43" s="181"/>
      <c r="M43" s="181"/>
      <c r="N43" s="181"/>
      <c r="O43" s="181"/>
      <c r="P43" s="181"/>
      <c r="Q43" s="181"/>
      <c r="R43" s="181"/>
      <c r="S43" s="181"/>
      <c r="T43" s="182"/>
    </row>
    <row r="44" spans="2:20">
      <c r="B44" s="17">
        <v>1</v>
      </c>
      <c r="C44" s="14" t="s">
        <v>58</v>
      </c>
      <c r="D44" s="15"/>
      <c r="E44" s="15"/>
      <c r="F44" s="15"/>
      <c r="G44" s="16"/>
      <c r="H44" s="17" t="s">
        <v>59</v>
      </c>
      <c r="I44" s="5">
        <v>10000</v>
      </c>
      <c r="J44" s="10">
        <v>1250000</v>
      </c>
      <c r="K44" s="10">
        <v>23000</v>
      </c>
      <c r="L44" s="10">
        <v>125000</v>
      </c>
      <c r="M44" s="11">
        <v>70000</v>
      </c>
      <c r="N44" s="26">
        <v>82500</v>
      </c>
      <c r="O44" s="10">
        <v>30000</v>
      </c>
      <c r="P44" s="11">
        <v>60000</v>
      </c>
      <c r="Q44" s="11">
        <v>138000</v>
      </c>
      <c r="R44" s="11">
        <v>1250</v>
      </c>
      <c r="S44" s="11">
        <v>11000</v>
      </c>
      <c r="T44" s="31">
        <f>AVERAGE(J44:S44)</f>
        <v>179075</v>
      </c>
    </row>
    <row r="45" spans="2:20">
      <c r="B45" s="17">
        <v>2</v>
      </c>
      <c r="C45" s="14" t="s">
        <v>60</v>
      </c>
      <c r="D45" s="15"/>
      <c r="E45" s="15"/>
      <c r="F45" s="15"/>
      <c r="G45" s="16"/>
      <c r="H45" s="17" t="s">
        <v>59</v>
      </c>
      <c r="I45" s="5">
        <v>1000</v>
      </c>
      <c r="J45" s="10">
        <v>825000</v>
      </c>
      <c r="K45" s="10">
        <v>16500</v>
      </c>
      <c r="L45" s="10">
        <v>125000</v>
      </c>
      <c r="M45" s="11">
        <v>53000</v>
      </c>
      <c r="N45" s="26">
        <v>80250</v>
      </c>
      <c r="O45" s="10">
        <v>16500</v>
      </c>
      <c r="P45" s="11">
        <v>40000</v>
      </c>
      <c r="Q45" s="11">
        <v>110800</v>
      </c>
      <c r="R45" s="11">
        <v>940</v>
      </c>
      <c r="S45" s="11">
        <v>5750</v>
      </c>
      <c r="T45" s="31">
        <f>AVERAGE(J45:S45)</f>
        <v>127374</v>
      </c>
    </row>
    <row r="46" spans="2:20">
      <c r="B46" s="183"/>
      <c r="C46" s="183"/>
      <c r="D46" s="183"/>
      <c r="E46" s="183"/>
      <c r="F46" s="183"/>
      <c r="G46" s="183"/>
      <c r="H46" s="183"/>
      <c r="I46" s="183"/>
      <c r="J46" s="183"/>
      <c r="K46" s="183"/>
      <c r="L46" s="183"/>
      <c r="M46" s="183"/>
      <c r="N46" s="183"/>
      <c r="O46" s="183"/>
      <c r="P46" s="183"/>
      <c r="Q46" s="183"/>
      <c r="R46" s="183"/>
      <c r="S46" s="183"/>
      <c r="T46" s="183"/>
    </row>
    <row r="47" spans="2:20">
      <c r="B47" s="13"/>
      <c r="C47" s="22" t="s">
        <v>61</v>
      </c>
      <c r="D47" s="23"/>
      <c r="E47" s="23"/>
      <c r="F47" s="23"/>
      <c r="G47" s="24"/>
      <c r="H47" s="25"/>
      <c r="I47" s="14"/>
      <c r="J47" s="17" t="s">
        <v>11</v>
      </c>
      <c r="K47" s="17" t="s">
        <v>11</v>
      </c>
      <c r="L47" s="17" t="s">
        <v>11</v>
      </c>
      <c r="M47" s="17" t="s">
        <v>11</v>
      </c>
      <c r="N47" s="17" t="s">
        <v>11</v>
      </c>
      <c r="O47" s="17" t="s">
        <v>11</v>
      </c>
      <c r="P47" s="17" t="s">
        <v>11</v>
      </c>
      <c r="Q47" s="17" t="s">
        <v>11</v>
      </c>
      <c r="R47" s="17" t="s">
        <v>11</v>
      </c>
      <c r="S47" s="17" t="s">
        <v>11</v>
      </c>
      <c r="T47" s="29" t="s">
        <v>11</v>
      </c>
    </row>
    <row r="48" spans="2:20" ht="28.5" customHeight="1">
      <c r="B48" s="13"/>
      <c r="C48" s="22" t="s">
        <v>62</v>
      </c>
      <c r="D48" s="23"/>
      <c r="E48" s="23"/>
      <c r="F48" s="23"/>
      <c r="G48" s="24"/>
      <c r="H48" s="25"/>
      <c r="I48" s="27"/>
      <c r="J48" s="28" t="s">
        <v>97</v>
      </c>
      <c r="K48" s="28" t="s">
        <v>98</v>
      </c>
      <c r="L48" s="28" t="s">
        <v>99</v>
      </c>
      <c r="M48" s="28" t="s">
        <v>99</v>
      </c>
      <c r="N48" s="28" t="s">
        <v>100</v>
      </c>
      <c r="O48" s="28" t="s">
        <v>101</v>
      </c>
      <c r="P48" s="28" t="s">
        <v>102</v>
      </c>
      <c r="Q48" s="28" t="s">
        <v>104</v>
      </c>
      <c r="R48" s="28" t="s">
        <v>105</v>
      </c>
      <c r="S48" s="28" t="s">
        <v>106</v>
      </c>
      <c r="T48" s="28" t="s">
        <v>99</v>
      </c>
    </row>
  </sheetData>
  <mergeCells count="20">
    <mergeCell ref="C14:T14"/>
    <mergeCell ref="C43:T43"/>
    <mergeCell ref="B46:T46"/>
    <mergeCell ref="N4:N5"/>
    <mergeCell ref="O4:O5"/>
    <mergeCell ref="P4:P5"/>
    <mergeCell ref="Q4:Q5"/>
    <mergeCell ref="R4:R5"/>
    <mergeCell ref="S4:S5"/>
    <mergeCell ref="B3:B5"/>
    <mergeCell ref="C3:G5"/>
    <mergeCell ref="H3:H5"/>
    <mergeCell ref="I3:I5"/>
    <mergeCell ref="J3:S3"/>
    <mergeCell ref="T3:T5"/>
    <mergeCell ref="J4:J5"/>
    <mergeCell ref="K4:K5"/>
    <mergeCell ref="L4:L5"/>
    <mergeCell ref="M4:M5"/>
    <mergeCell ref="C9:T9"/>
  </mergeCells>
  <pageMargins left="0.7" right="0.7" top="0.75" bottom="0.75" header="0.3" footer="0.3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16E001-7A0E-4695-B256-0F4127747391}">
  <sheetPr codeName="Sheet5"/>
  <dimension ref="B3:Q48"/>
  <sheetViews>
    <sheetView topLeftCell="C1" workbookViewId="0">
      <selection activeCell="C27" sqref="C27"/>
    </sheetView>
  </sheetViews>
  <sheetFormatPr defaultRowHeight="14.25"/>
  <cols>
    <col min="1" max="7" width="9.06640625" style="3"/>
    <col min="8" max="8" width="12" style="3" customWidth="1"/>
    <col min="9" max="9" width="9.06640625" style="3"/>
    <col min="10" max="11" width="15.46484375" style="3" customWidth="1"/>
    <col min="12" max="12" width="17.46484375" style="3" customWidth="1"/>
    <col min="13" max="13" width="13.265625" style="3" customWidth="1"/>
    <col min="14" max="14" width="14.86328125" style="3" customWidth="1"/>
    <col min="15" max="15" width="16.1328125" style="3" customWidth="1"/>
    <col min="16" max="16" width="14.46484375" style="3" customWidth="1"/>
    <col min="17" max="17" width="13.73046875" style="3" customWidth="1"/>
    <col min="18" max="16384" width="9.06640625" style="3"/>
  </cols>
  <sheetData>
    <row r="3" spans="2:17">
      <c r="B3" s="175" t="s">
        <v>7</v>
      </c>
      <c r="C3" s="166" t="s">
        <v>8</v>
      </c>
      <c r="D3" s="167"/>
      <c r="E3" s="167"/>
      <c r="F3" s="167"/>
      <c r="G3" s="168"/>
      <c r="H3" s="175" t="s">
        <v>9</v>
      </c>
      <c r="I3" s="178" t="s">
        <v>10</v>
      </c>
      <c r="J3" s="166" t="s">
        <v>64</v>
      </c>
      <c r="K3" s="167"/>
      <c r="L3" s="167"/>
      <c r="M3" s="167"/>
      <c r="N3" s="167"/>
      <c r="O3" s="167"/>
      <c r="P3" s="168"/>
      <c r="Q3" s="175" t="s">
        <v>65</v>
      </c>
    </row>
    <row r="4" spans="2:17">
      <c r="B4" s="176"/>
      <c r="C4" s="169"/>
      <c r="D4" s="170"/>
      <c r="E4" s="170"/>
      <c r="F4" s="170"/>
      <c r="G4" s="171"/>
      <c r="H4" s="176"/>
      <c r="I4" s="179"/>
      <c r="J4" s="175" t="s">
        <v>0</v>
      </c>
      <c r="K4" s="178" t="s">
        <v>68</v>
      </c>
      <c r="L4" s="178" t="s">
        <v>1</v>
      </c>
      <c r="M4" s="178" t="s">
        <v>3</v>
      </c>
      <c r="N4" s="178" t="s">
        <v>5</v>
      </c>
      <c r="O4" s="178" t="s">
        <v>6</v>
      </c>
      <c r="P4" s="178" t="s">
        <v>84</v>
      </c>
      <c r="Q4" s="176"/>
    </row>
    <row r="5" spans="2:17">
      <c r="B5" s="177"/>
      <c r="C5" s="172"/>
      <c r="D5" s="173"/>
      <c r="E5" s="173"/>
      <c r="F5" s="173"/>
      <c r="G5" s="174"/>
      <c r="H5" s="177"/>
      <c r="I5" s="180"/>
      <c r="J5" s="177"/>
      <c r="K5" s="180"/>
      <c r="L5" s="180"/>
      <c r="M5" s="180"/>
      <c r="N5" s="180"/>
      <c r="O5" s="180"/>
      <c r="P5" s="180"/>
      <c r="Q5" s="177"/>
    </row>
    <row r="6" spans="2:17">
      <c r="B6" s="17">
        <v>1</v>
      </c>
      <c r="C6" s="14" t="s">
        <v>12</v>
      </c>
      <c r="D6" s="15"/>
      <c r="E6" s="15"/>
      <c r="F6" s="15"/>
      <c r="G6" s="16"/>
      <c r="H6" s="17"/>
      <c r="I6" s="17"/>
      <c r="J6" s="34" t="s">
        <v>25</v>
      </c>
      <c r="K6" s="34" t="s">
        <v>25</v>
      </c>
      <c r="L6" s="20" t="s">
        <v>25</v>
      </c>
      <c r="M6" s="20" t="s">
        <v>25</v>
      </c>
      <c r="N6" s="20" t="s">
        <v>25</v>
      </c>
      <c r="O6" s="20" t="s">
        <v>25</v>
      </c>
      <c r="P6" s="20" t="s">
        <v>25</v>
      </c>
      <c r="Q6" s="37" t="s">
        <v>25</v>
      </c>
    </row>
    <row r="7" spans="2:17">
      <c r="B7" s="17">
        <v>2</v>
      </c>
      <c r="C7" s="14" t="s">
        <v>14</v>
      </c>
      <c r="D7" s="15"/>
      <c r="E7" s="15"/>
      <c r="F7" s="15"/>
      <c r="G7" s="16"/>
      <c r="H7" s="17"/>
      <c r="I7" s="17"/>
      <c r="J7" s="34" t="s">
        <v>25</v>
      </c>
      <c r="K7" s="34" t="s">
        <v>25</v>
      </c>
      <c r="L7" s="20" t="s">
        <v>25</v>
      </c>
      <c r="M7" s="20" t="s">
        <v>25</v>
      </c>
      <c r="N7" s="20" t="s">
        <v>25</v>
      </c>
      <c r="O7" s="20" t="s">
        <v>25</v>
      </c>
      <c r="P7" s="20" t="s">
        <v>25</v>
      </c>
      <c r="Q7" s="37" t="s">
        <v>25</v>
      </c>
    </row>
    <row r="8" spans="2:17">
      <c r="B8" s="17"/>
      <c r="C8" s="14"/>
      <c r="D8" s="15"/>
      <c r="E8" s="15"/>
      <c r="F8" s="15"/>
      <c r="G8" s="16"/>
      <c r="H8" s="17"/>
      <c r="I8" s="17"/>
      <c r="J8" s="17"/>
      <c r="K8" s="17"/>
      <c r="L8" s="17"/>
      <c r="M8" s="17"/>
      <c r="N8" s="17"/>
      <c r="O8" s="17"/>
      <c r="P8" s="17"/>
      <c r="Q8" s="17"/>
    </row>
    <row r="9" spans="2:17">
      <c r="B9" s="18"/>
      <c r="C9" s="181" t="s">
        <v>17</v>
      </c>
      <c r="D9" s="181"/>
      <c r="E9" s="181"/>
      <c r="F9" s="181"/>
      <c r="G9" s="181"/>
      <c r="H9" s="181"/>
      <c r="I9" s="181"/>
      <c r="J9" s="181"/>
      <c r="K9" s="181"/>
      <c r="L9" s="181"/>
      <c r="M9" s="181"/>
      <c r="N9" s="181"/>
      <c r="O9" s="181"/>
      <c r="P9" s="181"/>
      <c r="Q9" s="182"/>
    </row>
    <row r="10" spans="2:17" ht="15.4">
      <c r="B10" s="17">
        <v>1</v>
      </c>
      <c r="C10" s="14" t="s">
        <v>18</v>
      </c>
      <c r="D10" s="15"/>
      <c r="E10" s="15"/>
      <c r="F10" s="15"/>
      <c r="G10" s="16"/>
      <c r="H10" s="17" t="s">
        <v>19</v>
      </c>
      <c r="I10" s="17" t="s">
        <v>20</v>
      </c>
      <c r="J10" s="19">
        <v>24.899999999999995</v>
      </c>
      <c r="K10" s="19">
        <v>25.060000000000002</v>
      </c>
      <c r="L10" s="19">
        <v>25.533333333333331</v>
      </c>
      <c r="M10" s="19">
        <v>26.366666666666664</v>
      </c>
      <c r="N10" s="19">
        <v>26.586666666666662</v>
      </c>
      <c r="O10" s="19">
        <v>27.136666666666667</v>
      </c>
      <c r="P10" s="19">
        <v>26.53</v>
      </c>
      <c r="Q10" s="30">
        <f>AVERAGE(J10:P10)</f>
        <v>26.016190476190474</v>
      </c>
    </row>
    <row r="11" spans="2:17">
      <c r="B11" s="17">
        <v>2</v>
      </c>
      <c r="C11" s="14" t="s">
        <v>21</v>
      </c>
      <c r="D11" s="15"/>
      <c r="E11" s="15"/>
      <c r="F11" s="15"/>
      <c r="G11" s="16"/>
      <c r="H11" s="17" t="s">
        <v>2</v>
      </c>
      <c r="I11" s="5">
        <v>1000</v>
      </c>
      <c r="J11" s="5">
        <v>117.33333333333333</v>
      </c>
      <c r="K11" s="5">
        <v>142.66666666666666</v>
      </c>
      <c r="L11" s="5">
        <v>206.66666666666666</v>
      </c>
      <c r="M11" s="5">
        <v>197.33333333333334</v>
      </c>
      <c r="N11" s="5">
        <v>220</v>
      </c>
      <c r="O11" s="5">
        <v>181.33333333333334</v>
      </c>
      <c r="P11" s="5">
        <v>209.33333333333334</v>
      </c>
      <c r="Q11" s="30">
        <f>AVERAGE(J11:P11)</f>
        <v>182.09523809523807</v>
      </c>
    </row>
    <row r="12" spans="2:17">
      <c r="B12" s="17">
        <v>3</v>
      </c>
      <c r="C12" s="14" t="s">
        <v>22</v>
      </c>
      <c r="D12" s="15"/>
      <c r="E12" s="15"/>
      <c r="F12" s="15"/>
      <c r="G12" s="16"/>
      <c r="H12" s="17" t="s">
        <v>2</v>
      </c>
      <c r="I12" s="5">
        <v>50</v>
      </c>
      <c r="J12" s="6">
        <v>31.433333333333334</v>
      </c>
      <c r="K12" s="6">
        <v>17.733333333333331</v>
      </c>
      <c r="L12" s="6">
        <v>13.783333333333331</v>
      </c>
      <c r="M12" s="6">
        <v>23.033333333333331</v>
      </c>
      <c r="N12" s="6">
        <v>25.766666666666666</v>
      </c>
      <c r="O12" s="6">
        <v>29.066666666666666</v>
      </c>
      <c r="P12" s="6">
        <v>31</v>
      </c>
      <c r="Q12" s="30">
        <f>AVERAGE(J12:P12)</f>
        <v>24.545238095238094</v>
      </c>
    </row>
    <row r="13" spans="2:17">
      <c r="B13" s="17"/>
      <c r="C13" s="14"/>
      <c r="D13" s="15"/>
      <c r="E13" s="15"/>
      <c r="F13" s="15"/>
      <c r="G13" s="16"/>
      <c r="H13" s="17"/>
      <c r="I13" s="17"/>
      <c r="J13" s="19"/>
      <c r="K13" s="19"/>
      <c r="L13" s="19"/>
      <c r="M13" s="19"/>
      <c r="N13" s="19"/>
      <c r="O13" s="19"/>
      <c r="P13" s="19"/>
      <c r="Q13" s="19"/>
    </row>
    <row r="14" spans="2:17">
      <c r="B14" s="18"/>
      <c r="C14" s="181" t="s">
        <v>23</v>
      </c>
      <c r="D14" s="181"/>
      <c r="E14" s="181"/>
      <c r="F14" s="181"/>
      <c r="G14" s="181"/>
      <c r="H14" s="181"/>
      <c r="I14" s="181"/>
      <c r="J14" s="181"/>
      <c r="K14" s="181"/>
      <c r="L14" s="181"/>
      <c r="M14" s="181"/>
      <c r="N14" s="181"/>
      <c r="O14" s="181"/>
      <c r="P14" s="181"/>
      <c r="Q14" s="182"/>
    </row>
    <row r="15" spans="2:17">
      <c r="B15" s="17">
        <v>1</v>
      </c>
      <c r="C15" s="14" t="s">
        <v>24</v>
      </c>
      <c r="D15" s="15"/>
      <c r="E15" s="15"/>
      <c r="F15" s="15"/>
      <c r="G15" s="16"/>
      <c r="H15" s="17" t="s">
        <v>25</v>
      </c>
      <c r="I15" s="4" t="s">
        <v>26</v>
      </c>
      <c r="J15" s="19">
        <v>6.8966666666666656</v>
      </c>
      <c r="K15" s="19">
        <v>6.9766666666666666</v>
      </c>
      <c r="L15" s="19">
        <v>7.16</v>
      </c>
      <c r="M15" s="19">
        <v>7.0066666666666677</v>
      </c>
      <c r="N15" s="19">
        <v>7.0233333333333334</v>
      </c>
      <c r="O15" s="19">
        <v>6.8</v>
      </c>
      <c r="P15" s="19">
        <v>6.4133333333333331</v>
      </c>
      <c r="Q15" s="30">
        <f>AVERAGE(J15:P15)</f>
        <v>6.8966666666666665</v>
      </c>
    </row>
    <row r="16" spans="2:17">
      <c r="B16" s="17">
        <v>2</v>
      </c>
      <c r="C16" s="14" t="s">
        <v>27</v>
      </c>
      <c r="D16" s="15"/>
      <c r="E16" s="15"/>
      <c r="F16" s="15"/>
      <c r="G16" s="16"/>
      <c r="H16" s="17" t="s">
        <v>2</v>
      </c>
      <c r="I16" s="20" t="s">
        <v>25</v>
      </c>
      <c r="J16" s="8">
        <v>0.47123333333333334</v>
      </c>
      <c r="K16" s="8">
        <v>0.56626666666666658</v>
      </c>
      <c r="L16" s="8">
        <v>1.6588666666666665</v>
      </c>
      <c r="M16" s="8">
        <v>0.98050000000000004</v>
      </c>
      <c r="N16" s="8">
        <v>1.0466666666666666</v>
      </c>
      <c r="O16" s="8">
        <v>5.1800000000000006E-2</v>
      </c>
      <c r="P16" s="8">
        <v>5.1233333333333332E-2</v>
      </c>
      <c r="Q16" s="36">
        <f t="shared" ref="Q16:Q39" si="0">AVERAGE(J16:P16)</f>
        <v>0.68950952380952379</v>
      </c>
    </row>
    <row r="17" spans="2:17">
      <c r="B17" s="17">
        <v>3</v>
      </c>
      <c r="C17" s="14" t="s">
        <v>28</v>
      </c>
      <c r="D17" s="15"/>
      <c r="E17" s="15"/>
      <c r="F17" s="15"/>
      <c r="G17" s="16"/>
      <c r="H17" s="17" t="s">
        <v>2</v>
      </c>
      <c r="I17" s="20" t="s">
        <v>25</v>
      </c>
      <c r="J17" s="9">
        <v>0.98000000000000009</v>
      </c>
      <c r="K17" s="9">
        <v>1.024</v>
      </c>
      <c r="L17" s="9">
        <v>0.52533333333333332</v>
      </c>
      <c r="M17" s="9">
        <v>0.55533333333333335</v>
      </c>
      <c r="N17" s="9">
        <v>0.63300000000000001</v>
      </c>
      <c r="O17" s="9">
        <v>0.4386666666666667</v>
      </c>
      <c r="P17" s="9">
        <v>1.32</v>
      </c>
      <c r="Q17" s="36">
        <f t="shared" si="0"/>
        <v>0.78233333333333344</v>
      </c>
    </row>
    <row r="18" spans="2:17">
      <c r="B18" s="17">
        <v>4</v>
      </c>
      <c r="C18" s="14" t="s">
        <v>29</v>
      </c>
      <c r="D18" s="15"/>
      <c r="E18" s="15"/>
      <c r="F18" s="15"/>
      <c r="G18" s="16"/>
      <c r="H18" s="17" t="s">
        <v>2</v>
      </c>
      <c r="I18" s="6">
        <v>1.5</v>
      </c>
      <c r="J18" s="9">
        <v>2.1099999999999997E-2</v>
      </c>
      <c r="K18" s="9">
        <v>0.10830000000000001</v>
      </c>
      <c r="L18" s="9">
        <v>0.20480000000000001</v>
      </c>
      <c r="M18" s="9">
        <v>0.31916666666666665</v>
      </c>
      <c r="N18" s="9">
        <v>0.17223333333333332</v>
      </c>
      <c r="O18" s="9">
        <v>0.24293333333333333</v>
      </c>
      <c r="P18" s="9">
        <v>0.14063333333333336</v>
      </c>
      <c r="Q18" s="36">
        <f t="shared" si="0"/>
        <v>0.17273809523809525</v>
      </c>
    </row>
    <row r="19" spans="2:17">
      <c r="B19" s="17">
        <v>5</v>
      </c>
      <c r="C19" s="14" t="s">
        <v>30</v>
      </c>
      <c r="D19" s="15"/>
      <c r="E19" s="15"/>
      <c r="F19" s="15"/>
      <c r="G19" s="16"/>
      <c r="H19" s="17" t="s">
        <v>2</v>
      </c>
      <c r="I19" s="7">
        <v>0.01</v>
      </c>
      <c r="J19" s="8">
        <v>2.0000000000000001E-4</v>
      </c>
      <c r="K19" s="8">
        <v>2.0000000000000001E-4</v>
      </c>
      <c r="L19" s="8">
        <v>2.0000000000000001E-4</v>
      </c>
      <c r="M19" s="8">
        <v>2.0000000000000001E-4</v>
      </c>
      <c r="N19" s="8">
        <v>2.0000000000000001E-4</v>
      </c>
      <c r="O19" s="8">
        <v>2.0000000000000001E-4</v>
      </c>
      <c r="P19" s="8">
        <v>2.0000000000000001E-4</v>
      </c>
      <c r="Q19" s="36">
        <f t="shared" si="0"/>
        <v>2.0000000000000004E-4</v>
      </c>
    </row>
    <row r="20" spans="2:17" ht="15.4">
      <c r="B20" s="17">
        <v>6</v>
      </c>
      <c r="C20" s="14" t="s">
        <v>31</v>
      </c>
      <c r="D20" s="15"/>
      <c r="E20" s="15"/>
      <c r="F20" s="15"/>
      <c r="G20" s="16"/>
      <c r="H20" s="17" t="s">
        <v>2</v>
      </c>
      <c r="I20" s="5">
        <v>600</v>
      </c>
      <c r="J20" s="7">
        <v>4.4666666666666668</v>
      </c>
      <c r="K20" s="7">
        <v>4.4766666666666666</v>
      </c>
      <c r="L20" s="7">
        <v>7.2966666666666669</v>
      </c>
      <c r="M20" s="7">
        <v>6.1833333333333336</v>
      </c>
      <c r="N20" s="7">
        <v>7.0533333333333337</v>
      </c>
      <c r="O20" s="7">
        <v>3.8433333333333337</v>
      </c>
      <c r="P20" s="7">
        <v>3.35</v>
      </c>
      <c r="Q20" s="30">
        <f t="shared" si="0"/>
        <v>5.2385714285714302</v>
      </c>
    </row>
    <row r="21" spans="2:17">
      <c r="B21" s="17">
        <v>7</v>
      </c>
      <c r="C21" s="14" t="s">
        <v>32</v>
      </c>
      <c r="D21" s="15"/>
      <c r="E21" s="15"/>
      <c r="F21" s="15"/>
      <c r="G21" s="16"/>
      <c r="H21" s="17" t="s">
        <v>2</v>
      </c>
      <c r="I21" s="7">
        <v>0.03</v>
      </c>
      <c r="J21" s="6">
        <v>0</v>
      </c>
      <c r="K21" s="6">
        <v>0</v>
      </c>
      <c r="L21" s="6">
        <v>0</v>
      </c>
      <c r="M21" s="6">
        <v>0</v>
      </c>
      <c r="N21" s="6">
        <v>0</v>
      </c>
      <c r="O21" s="6">
        <v>0</v>
      </c>
      <c r="P21" s="6">
        <v>0</v>
      </c>
      <c r="Q21" s="30">
        <f t="shared" si="0"/>
        <v>0</v>
      </c>
    </row>
    <row r="22" spans="2:17">
      <c r="B22" s="17">
        <v>8</v>
      </c>
      <c r="C22" s="14" t="s">
        <v>33</v>
      </c>
      <c r="D22" s="15"/>
      <c r="E22" s="15"/>
      <c r="F22" s="15"/>
      <c r="G22" s="16"/>
      <c r="H22" s="17" t="s">
        <v>2</v>
      </c>
      <c r="I22" s="7">
        <v>0.05</v>
      </c>
      <c r="J22" s="8">
        <v>2.0000000000000001E-4</v>
      </c>
      <c r="K22" s="8">
        <v>2.0000000000000001E-4</v>
      </c>
      <c r="L22" s="8">
        <v>2.0000000000000001E-4</v>
      </c>
      <c r="M22" s="8">
        <v>2.0000000000000001E-4</v>
      </c>
      <c r="N22" s="8">
        <v>2.0000000000000001E-4</v>
      </c>
      <c r="O22" s="8">
        <v>2.0000000000000001E-4</v>
      </c>
      <c r="P22" s="8">
        <v>2.0000000000000001E-4</v>
      </c>
      <c r="Q22" s="36">
        <f t="shared" si="0"/>
        <v>2.0000000000000004E-4</v>
      </c>
    </row>
    <row r="23" spans="2:17">
      <c r="B23" s="17">
        <v>9</v>
      </c>
      <c r="C23" s="14" t="s">
        <v>34</v>
      </c>
      <c r="D23" s="15"/>
      <c r="E23" s="15"/>
      <c r="F23" s="15"/>
      <c r="G23" s="16"/>
      <c r="H23" s="17" t="s">
        <v>2</v>
      </c>
      <c r="I23" s="20" t="s">
        <v>25</v>
      </c>
      <c r="J23" s="8">
        <v>0.48136666666666672</v>
      </c>
      <c r="K23" s="8">
        <v>0.55359999999999998</v>
      </c>
      <c r="L23" s="8">
        <v>0.68096666666666661</v>
      </c>
      <c r="M23" s="8">
        <v>0.57550000000000001</v>
      </c>
      <c r="N23" s="8">
        <v>0.58100000000000007</v>
      </c>
      <c r="O23" s="8">
        <v>0.56113333333333337</v>
      </c>
      <c r="P23" s="8">
        <v>0.65090000000000003</v>
      </c>
      <c r="Q23" s="36">
        <f t="shared" si="0"/>
        <v>0.58349523809523796</v>
      </c>
    </row>
    <row r="24" spans="2:17" ht="15.75">
      <c r="B24" s="17">
        <v>10</v>
      </c>
      <c r="C24" s="14" t="s">
        <v>35</v>
      </c>
      <c r="D24" s="15"/>
      <c r="E24" s="15"/>
      <c r="F24" s="15"/>
      <c r="G24" s="16"/>
      <c r="H24" s="17" t="s">
        <v>2</v>
      </c>
      <c r="I24" s="5">
        <v>10</v>
      </c>
      <c r="J24" s="9">
        <v>1.2223333333333333</v>
      </c>
      <c r="K24" s="9">
        <v>1.1963333333333332</v>
      </c>
      <c r="L24" s="9">
        <v>0.745</v>
      </c>
      <c r="M24" s="9">
        <v>0.7486666666666667</v>
      </c>
      <c r="N24" s="9">
        <v>0.6246666666666667</v>
      </c>
      <c r="O24" s="9">
        <v>0.49633333333333335</v>
      </c>
      <c r="P24" s="9">
        <v>0.64566666666666672</v>
      </c>
      <c r="Q24" s="36">
        <f t="shared" si="0"/>
        <v>0.8112857142857145</v>
      </c>
    </row>
    <row r="25" spans="2:17" ht="15.75">
      <c r="B25" s="17">
        <v>11</v>
      </c>
      <c r="C25" s="14" t="s">
        <v>36</v>
      </c>
      <c r="D25" s="15"/>
      <c r="E25" s="15"/>
      <c r="F25" s="15"/>
      <c r="G25" s="16"/>
      <c r="H25" s="17" t="s">
        <v>2</v>
      </c>
      <c r="I25" s="7">
        <v>0.06</v>
      </c>
      <c r="J25" s="9">
        <v>1.7999999999999999E-2</v>
      </c>
      <c r="K25" s="9">
        <v>2.1666666666666667E-2</v>
      </c>
      <c r="L25" s="9">
        <v>2.0666666666666667E-2</v>
      </c>
      <c r="M25" s="9">
        <v>2.5333333333333333E-2</v>
      </c>
      <c r="N25" s="9">
        <v>2.4333333333333332E-2</v>
      </c>
      <c r="O25" s="9">
        <v>4.7E-2</v>
      </c>
      <c r="P25" s="9">
        <v>1.0333333333333333E-2</v>
      </c>
      <c r="Q25" s="36">
        <f t="shared" si="0"/>
        <v>2.3904761904761904E-2</v>
      </c>
    </row>
    <row r="26" spans="2:17">
      <c r="B26" s="17">
        <v>12</v>
      </c>
      <c r="C26" s="14" t="s">
        <v>37</v>
      </c>
      <c r="D26" s="15"/>
      <c r="E26" s="15"/>
      <c r="F26" s="15"/>
      <c r="G26" s="16"/>
      <c r="H26" s="17" t="s">
        <v>2</v>
      </c>
      <c r="I26" s="5" t="s">
        <v>38</v>
      </c>
      <c r="J26" s="7">
        <v>3</v>
      </c>
      <c r="K26" s="7">
        <v>2.5333333333333332</v>
      </c>
      <c r="L26" s="7">
        <v>3.3000000000000003</v>
      </c>
      <c r="M26" s="7">
        <v>3.3666666666666667</v>
      </c>
      <c r="N26" s="7">
        <v>3.8133333333333339</v>
      </c>
      <c r="O26" s="7">
        <v>2.9933333333333336</v>
      </c>
      <c r="P26" s="7">
        <v>4.3166666666666673</v>
      </c>
      <c r="Q26" s="30">
        <f t="shared" si="0"/>
        <v>3.3319047619047621</v>
      </c>
    </row>
    <row r="27" spans="2:17">
      <c r="B27" s="17">
        <v>13</v>
      </c>
      <c r="C27" s="14" t="s">
        <v>39</v>
      </c>
      <c r="D27" s="15"/>
      <c r="E27" s="15"/>
      <c r="F27" s="15"/>
      <c r="G27" s="16"/>
      <c r="H27" s="17" t="s">
        <v>2</v>
      </c>
      <c r="I27" s="5">
        <v>3</v>
      </c>
      <c r="J27" s="7">
        <v>16.116666666666667</v>
      </c>
      <c r="K27" s="7">
        <v>16.39</v>
      </c>
      <c r="L27" s="7">
        <v>10.843333333333334</v>
      </c>
      <c r="M27" s="7">
        <v>12.35</v>
      </c>
      <c r="N27" s="7">
        <v>11.993333333333332</v>
      </c>
      <c r="O27" s="7">
        <v>11.986666666666666</v>
      </c>
      <c r="P27" s="7">
        <v>12.346666666666666</v>
      </c>
      <c r="Q27" s="30">
        <f t="shared" si="0"/>
        <v>13.146666666666665</v>
      </c>
    </row>
    <row r="28" spans="2:17">
      <c r="B28" s="17">
        <v>14</v>
      </c>
      <c r="C28" s="14" t="s">
        <v>40</v>
      </c>
      <c r="D28" s="15"/>
      <c r="E28" s="15"/>
      <c r="F28" s="15"/>
      <c r="G28" s="16"/>
      <c r="H28" s="17" t="s">
        <v>2</v>
      </c>
      <c r="I28" s="5">
        <v>25</v>
      </c>
      <c r="J28" s="7">
        <v>27.963333333333335</v>
      </c>
      <c r="K28" s="7">
        <v>27.36333333333333</v>
      </c>
      <c r="L28" s="7">
        <v>20.133333333333336</v>
      </c>
      <c r="M28" s="7">
        <v>21.599999999999998</v>
      </c>
      <c r="N28" s="7">
        <v>22.643333333333334</v>
      </c>
      <c r="O28" s="7">
        <v>22.566666666666663</v>
      </c>
      <c r="P28" s="7">
        <v>19.603333333333335</v>
      </c>
      <c r="Q28" s="30">
        <f t="shared" si="0"/>
        <v>23.1247619047619</v>
      </c>
    </row>
    <row r="29" spans="2:17">
      <c r="B29" s="17">
        <v>15</v>
      </c>
      <c r="C29" s="14" t="s">
        <v>41</v>
      </c>
      <c r="D29" s="15"/>
      <c r="E29" s="15"/>
      <c r="F29" s="15"/>
      <c r="G29" s="16"/>
      <c r="H29" s="17" t="s">
        <v>2</v>
      </c>
      <c r="I29" s="7">
        <v>0.05</v>
      </c>
      <c r="J29" s="9">
        <v>0.71399999999999986</v>
      </c>
      <c r="K29" s="9">
        <v>0.10433333333333333</v>
      </c>
      <c r="L29" s="9">
        <v>2.7333333333333334E-2</v>
      </c>
      <c r="M29" s="9">
        <v>3.8333333333333337E-2</v>
      </c>
      <c r="N29" s="9">
        <v>4.4666666666666667E-2</v>
      </c>
      <c r="O29" s="9">
        <v>4.1000000000000002E-2</v>
      </c>
      <c r="P29" s="9">
        <v>0.27133333333333337</v>
      </c>
      <c r="Q29" s="35">
        <f t="shared" si="0"/>
        <v>0.17728571428571427</v>
      </c>
    </row>
    <row r="30" spans="2:17">
      <c r="B30" s="17">
        <v>16</v>
      </c>
      <c r="C30" s="14" t="s">
        <v>42</v>
      </c>
      <c r="D30" s="15"/>
      <c r="E30" s="15"/>
      <c r="F30" s="15"/>
      <c r="G30" s="16"/>
      <c r="H30" s="17" t="s">
        <v>2</v>
      </c>
      <c r="I30" s="7">
        <v>0.02</v>
      </c>
      <c r="J30" s="6">
        <v>0</v>
      </c>
      <c r="K30" s="6">
        <v>0</v>
      </c>
      <c r="L30" s="6">
        <v>0</v>
      </c>
      <c r="M30" s="6">
        <v>0</v>
      </c>
      <c r="N30" s="6">
        <v>0</v>
      </c>
      <c r="O30" s="6">
        <v>0</v>
      </c>
      <c r="P30" s="6">
        <v>0</v>
      </c>
      <c r="Q30" s="35">
        <f t="shared" si="0"/>
        <v>0</v>
      </c>
    </row>
    <row r="31" spans="2:17" ht="15.75">
      <c r="B31" s="17">
        <v>17</v>
      </c>
      <c r="C31" s="14" t="s">
        <v>43</v>
      </c>
      <c r="D31" s="15"/>
      <c r="E31" s="15"/>
      <c r="F31" s="15"/>
      <c r="G31" s="16"/>
      <c r="H31" s="17" t="s">
        <v>2</v>
      </c>
      <c r="I31" s="20" t="s">
        <v>25</v>
      </c>
      <c r="J31" s="9">
        <v>11.692666666666666</v>
      </c>
      <c r="K31" s="9">
        <v>11.013333333333334</v>
      </c>
      <c r="L31" s="9">
        <v>10.28</v>
      </c>
      <c r="M31" s="9">
        <v>8.8756666666666657</v>
      </c>
      <c r="N31" s="9">
        <v>38.056666666666665</v>
      </c>
      <c r="O31" s="9">
        <v>28.601333333333333</v>
      </c>
      <c r="P31" s="9">
        <v>15.907333333333332</v>
      </c>
      <c r="Q31" s="35">
        <f t="shared" si="0"/>
        <v>17.775285714285712</v>
      </c>
    </row>
    <row r="32" spans="2:17" ht="15.75">
      <c r="B32" s="17">
        <v>18</v>
      </c>
      <c r="C32" s="14" t="s">
        <v>44</v>
      </c>
      <c r="D32" s="15"/>
      <c r="E32" s="15"/>
      <c r="F32" s="15"/>
      <c r="G32" s="16"/>
      <c r="H32" s="17" t="s">
        <v>2</v>
      </c>
      <c r="I32" s="9">
        <v>2E-3</v>
      </c>
      <c r="J32" s="8">
        <v>1.1000000000000001E-3</v>
      </c>
      <c r="K32" s="8">
        <v>1.1000000000000001E-3</v>
      </c>
      <c r="L32" s="8">
        <v>1.1000000000000001E-3</v>
      </c>
      <c r="M32" s="8">
        <v>1.1000000000000001E-3</v>
      </c>
      <c r="N32" s="8">
        <v>1.1000000000000001E-3</v>
      </c>
      <c r="O32" s="8">
        <v>1.1000000000000001E-3</v>
      </c>
      <c r="P32" s="8">
        <v>1.1000000000000001E-3</v>
      </c>
      <c r="Q32" s="36">
        <f t="shared" si="0"/>
        <v>1.1000000000000001E-3</v>
      </c>
    </row>
    <row r="33" spans="2:17">
      <c r="B33" s="17">
        <v>19</v>
      </c>
      <c r="C33" s="14" t="s">
        <v>45</v>
      </c>
      <c r="D33" s="15"/>
      <c r="E33" s="15"/>
      <c r="F33" s="15"/>
      <c r="G33" s="16"/>
      <c r="H33" s="17" t="s">
        <v>2</v>
      </c>
      <c r="I33" s="7">
        <v>0.02</v>
      </c>
      <c r="J33" s="8">
        <v>7.7999999999999988E-3</v>
      </c>
      <c r="K33" s="8">
        <v>7.7999999999999988E-3</v>
      </c>
      <c r="L33" s="8">
        <v>7.7999999999999988E-3</v>
      </c>
      <c r="M33" s="8">
        <v>7.7999999999999988E-3</v>
      </c>
      <c r="N33" s="8">
        <v>7.7999999999999988E-3</v>
      </c>
      <c r="O33" s="8">
        <v>7.7999999999999988E-3</v>
      </c>
      <c r="P33" s="8">
        <v>7.7999999999999988E-3</v>
      </c>
      <c r="Q33" s="36">
        <f t="shared" si="0"/>
        <v>7.7999999999999996E-3</v>
      </c>
    </row>
    <row r="34" spans="2:17">
      <c r="B34" s="17">
        <v>20</v>
      </c>
      <c r="C34" s="14" t="s">
        <v>46</v>
      </c>
      <c r="D34" s="15"/>
      <c r="E34" s="15"/>
      <c r="F34" s="15"/>
      <c r="G34" s="16"/>
      <c r="H34" s="17" t="s">
        <v>2</v>
      </c>
      <c r="I34" s="7">
        <v>0.03</v>
      </c>
      <c r="J34" s="8">
        <v>2.4333333333333334E-3</v>
      </c>
      <c r="K34" s="8">
        <v>2.1666666666666666E-3</v>
      </c>
      <c r="L34" s="8">
        <v>2.1666666666666666E-3</v>
      </c>
      <c r="M34" s="8">
        <v>2.1666666666666666E-3</v>
      </c>
      <c r="N34" s="8">
        <v>2.1666666666666666E-3</v>
      </c>
      <c r="O34" s="8">
        <v>2.1666666666666666E-3</v>
      </c>
      <c r="P34" s="8">
        <v>2.1666666666666666E-3</v>
      </c>
      <c r="Q34" s="36">
        <f t="shared" si="0"/>
        <v>2.2047619047619047E-3</v>
      </c>
    </row>
    <row r="35" spans="2:17" ht="15.75">
      <c r="B35" s="17">
        <v>21</v>
      </c>
      <c r="C35" s="14" t="s">
        <v>47</v>
      </c>
      <c r="D35" s="15"/>
      <c r="E35" s="15"/>
      <c r="F35" s="15"/>
      <c r="G35" s="16"/>
      <c r="H35" s="17" t="s">
        <v>2</v>
      </c>
      <c r="I35" s="6">
        <v>0.2</v>
      </c>
      <c r="J35" s="8">
        <v>5.3033333333333328E-2</v>
      </c>
      <c r="K35" s="8">
        <v>5.4633333333333332E-2</v>
      </c>
      <c r="L35" s="8">
        <v>0.10633333333333334</v>
      </c>
      <c r="M35" s="8">
        <v>6.4199999999999993E-2</v>
      </c>
      <c r="N35" s="8">
        <v>1.7866666666666666E-2</v>
      </c>
      <c r="O35" s="8">
        <v>2.5100000000000001E-2</v>
      </c>
      <c r="P35" s="8">
        <v>1.9233333333333331E-2</v>
      </c>
      <c r="Q35" s="36">
        <f t="shared" si="0"/>
        <v>4.8628571428571424E-2</v>
      </c>
    </row>
    <row r="36" spans="2:17">
      <c r="B36" s="17">
        <v>22</v>
      </c>
      <c r="C36" s="14" t="s">
        <v>48</v>
      </c>
      <c r="D36" s="15"/>
      <c r="E36" s="15"/>
      <c r="F36" s="15"/>
      <c r="G36" s="16"/>
      <c r="H36" s="17" t="s">
        <v>2</v>
      </c>
      <c r="I36" s="9">
        <v>1E-3</v>
      </c>
      <c r="J36" s="8">
        <v>5.9999999999999995E-4</v>
      </c>
      <c r="K36" s="8">
        <v>5.9999999999999995E-4</v>
      </c>
      <c r="L36" s="8">
        <v>5.9999999999999995E-4</v>
      </c>
      <c r="M36" s="8">
        <v>1.2333333333333332E-3</v>
      </c>
      <c r="N36" s="8">
        <v>5.9999999999999995E-4</v>
      </c>
      <c r="O36" s="8">
        <v>5.9999999999999995E-4</v>
      </c>
      <c r="P36" s="8">
        <v>5.9999999999999995E-4</v>
      </c>
      <c r="Q36" s="36">
        <f t="shared" si="0"/>
        <v>6.9047619047619036E-4</v>
      </c>
    </row>
    <row r="37" spans="2:17">
      <c r="B37" s="17">
        <v>23</v>
      </c>
      <c r="C37" s="14" t="s">
        <v>49</v>
      </c>
      <c r="D37" s="15"/>
      <c r="E37" s="15"/>
      <c r="F37" s="15"/>
      <c r="G37" s="16"/>
      <c r="H37" s="17" t="s">
        <v>2</v>
      </c>
      <c r="I37" s="5">
        <v>1</v>
      </c>
      <c r="J37" s="9">
        <v>8.666666666666668E-3</v>
      </c>
      <c r="K37" s="9">
        <v>1.3666666666666666E-2</v>
      </c>
      <c r="L37" s="9">
        <v>8.3333333333333332E-3</v>
      </c>
      <c r="M37" s="9">
        <v>1.4E-2</v>
      </c>
      <c r="N37" s="9">
        <v>1.3333333333333334E-2</v>
      </c>
      <c r="O37" s="9">
        <v>1.4333333333333335E-2</v>
      </c>
      <c r="P37" s="9">
        <v>1.6666666666666666E-2</v>
      </c>
      <c r="Q37" s="36">
        <f t="shared" si="0"/>
        <v>1.2714285714285714E-2</v>
      </c>
    </row>
    <row r="38" spans="2:17">
      <c r="B38" s="17">
        <v>24</v>
      </c>
      <c r="C38" s="14" t="s">
        <v>50</v>
      </c>
      <c r="D38" s="15"/>
      <c r="E38" s="15"/>
      <c r="F38" s="15"/>
      <c r="G38" s="16"/>
      <c r="H38" s="17" t="s">
        <v>2</v>
      </c>
      <c r="I38" s="6">
        <v>0.2</v>
      </c>
      <c r="J38" s="9">
        <v>1.2999999999999999E-2</v>
      </c>
      <c r="K38" s="9">
        <v>1.2999999999999999E-2</v>
      </c>
      <c r="L38" s="9">
        <v>4.5166666666666667E-2</v>
      </c>
      <c r="M38" s="9">
        <v>6.4066666666666661E-2</v>
      </c>
      <c r="N38" s="9">
        <v>5.2666666666666667E-2</v>
      </c>
      <c r="O38" s="9">
        <v>5.3333333333333337E-2</v>
      </c>
      <c r="P38" s="9">
        <v>2.866666666666667E-2</v>
      </c>
      <c r="Q38" s="36">
        <f t="shared" si="0"/>
        <v>3.8557142857142852E-2</v>
      </c>
    </row>
    <row r="39" spans="2:17">
      <c r="B39" s="17">
        <v>25</v>
      </c>
      <c r="C39" s="14" t="s">
        <v>51</v>
      </c>
      <c r="D39" s="15"/>
      <c r="E39" s="15"/>
      <c r="F39" s="15"/>
      <c r="G39" s="16"/>
      <c r="H39" s="17" t="s">
        <v>2</v>
      </c>
      <c r="I39" s="7">
        <v>0.05</v>
      </c>
      <c r="J39" s="8">
        <v>2.0999999999999999E-3</v>
      </c>
      <c r="K39" s="8">
        <v>2.0999999999999999E-3</v>
      </c>
      <c r="L39" s="8">
        <v>2.0999999999999999E-3</v>
      </c>
      <c r="M39" s="8">
        <v>2.0999999999999999E-3</v>
      </c>
      <c r="N39" s="8">
        <v>2.0999999999999999E-3</v>
      </c>
      <c r="O39" s="8">
        <v>2.0999999999999999E-3</v>
      </c>
      <c r="P39" s="8">
        <v>2.0999999999999999E-3</v>
      </c>
      <c r="Q39" s="36">
        <f t="shared" si="0"/>
        <v>2.0999999999999999E-3</v>
      </c>
    </row>
    <row r="40" spans="2:17">
      <c r="B40" s="17">
        <v>26</v>
      </c>
      <c r="C40" s="14" t="s">
        <v>52</v>
      </c>
      <c r="D40" s="15"/>
      <c r="E40" s="15"/>
      <c r="F40" s="15"/>
      <c r="G40" s="16"/>
      <c r="H40" s="17" t="s">
        <v>53</v>
      </c>
      <c r="I40" s="17" t="s">
        <v>54</v>
      </c>
      <c r="J40" s="12" t="s">
        <v>25</v>
      </c>
      <c r="K40" s="12" t="s">
        <v>25</v>
      </c>
      <c r="L40" s="12" t="s">
        <v>25</v>
      </c>
      <c r="M40" s="12" t="s">
        <v>25</v>
      </c>
      <c r="N40" s="12" t="s">
        <v>25</v>
      </c>
      <c r="O40" s="12" t="s">
        <v>25</v>
      </c>
      <c r="P40" s="12" t="s">
        <v>25</v>
      </c>
      <c r="Q40" s="30" t="s">
        <v>25</v>
      </c>
    </row>
    <row r="41" spans="2:17">
      <c r="B41" s="17">
        <v>27</v>
      </c>
      <c r="C41" s="14" t="s">
        <v>55</v>
      </c>
      <c r="D41" s="15"/>
      <c r="E41" s="15"/>
      <c r="F41" s="15"/>
      <c r="G41" s="16"/>
      <c r="H41" s="21" t="s">
        <v>56</v>
      </c>
      <c r="I41" s="17" t="s">
        <v>54</v>
      </c>
      <c r="J41" s="33" t="s">
        <v>25</v>
      </c>
      <c r="K41" s="33" t="s">
        <v>25</v>
      </c>
      <c r="L41" s="33" t="s">
        <v>25</v>
      </c>
      <c r="M41" s="33" t="s">
        <v>25</v>
      </c>
      <c r="N41" s="33" t="s">
        <v>25</v>
      </c>
      <c r="O41" s="33" t="s">
        <v>25</v>
      </c>
      <c r="P41" s="33" t="s">
        <v>25</v>
      </c>
      <c r="Q41" s="30" t="s">
        <v>25</v>
      </c>
    </row>
    <row r="42" spans="2:17">
      <c r="B42" s="17"/>
      <c r="C42" s="14"/>
      <c r="D42" s="15"/>
      <c r="E42" s="15"/>
      <c r="F42" s="15"/>
      <c r="G42" s="16"/>
      <c r="H42" s="21"/>
      <c r="I42" s="17"/>
      <c r="J42" s="9"/>
      <c r="K42" s="9"/>
      <c r="L42" s="9"/>
      <c r="M42" s="9"/>
      <c r="N42" s="33"/>
      <c r="O42" s="9"/>
      <c r="P42" s="9"/>
      <c r="Q42" s="9"/>
    </row>
    <row r="43" spans="2:17">
      <c r="B43" s="18"/>
      <c r="C43" s="181" t="s">
        <v>57</v>
      </c>
      <c r="D43" s="181"/>
      <c r="E43" s="181"/>
      <c r="F43" s="181"/>
      <c r="G43" s="181"/>
      <c r="H43" s="181"/>
      <c r="I43" s="181"/>
      <c r="J43" s="181"/>
      <c r="K43" s="181"/>
      <c r="L43" s="181"/>
      <c r="M43" s="181"/>
      <c r="N43" s="181"/>
      <c r="O43" s="181"/>
      <c r="P43" s="181"/>
      <c r="Q43" s="182"/>
    </row>
    <row r="44" spans="2:17">
      <c r="B44" s="17">
        <v>1</v>
      </c>
      <c r="C44" s="14" t="s">
        <v>58</v>
      </c>
      <c r="D44" s="15"/>
      <c r="E44" s="15"/>
      <c r="F44" s="15"/>
      <c r="G44" s="16"/>
      <c r="H44" s="17" t="s">
        <v>59</v>
      </c>
      <c r="I44" s="5">
        <v>10000</v>
      </c>
      <c r="J44" s="10">
        <v>181666.66666666666</v>
      </c>
      <c r="K44" s="10">
        <v>588200</v>
      </c>
      <c r="L44" s="11">
        <v>426666.66666666669</v>
      </c>
      <c r="M44" s="10">
        <v>547000</v>
      </c>
      <c r="N44" s="11">
        <v>766666.66666666663</v>
      </c>
      <c r="O44" s="11">
        <v>69500</v>
      </c>
      <c r="P44" s="11">
        <v>120400</v>
      </c>
      <c r="Q44" s="31">
        <f>AVERAGE(J44:P44)</f>
        <v>385728.57142857142</v>
      </c>
    </row>
    <row r="45" spans="2:17">
      <c r="B45" s="17">
        <v>2</v>
      </c>
      <c r="C45" s="14" t="s">
        <v>60</v>
      </c>
      <c r="D45" s="15"/>
      <c r="E45" s="15"/>
      <c r="F45" s="15"/>
      <c r="G45" s="16"/>
      <c r="H45" s="17" t="s">
        <v>59</v>
      </c>
      <c r="I45" s="5">
        <v>1000</v>
      </c>
      <c r="J45" s="10">
        <v>171166.66666666666</v>
      </c>
      <c r="K45" s="10">
        <v>211466.66666666666</v>
      </c>
      <c r="L45" s="11">
        <v>426666.66666666669</v>
      </c>
      <c r="M45" s="10">
        <v>403000</v>
      </c>
      <c r="N45" s="11">
        <v>291333.33333333331</v>
      </c>
      <c r="O45" s="11">
        <v>7400</v>
      </c>
      <c r="P45" s="11">
        <v>119033.33333333333</v>
      </c>
      <c r="Q45" s="31">
        <f>AVERAGE(J45:P45)</f>
        <v>232866.66666666666</v>
      </c>
    </row>
    <row r="46" spans="2:17">
      <c r="B46" s="183"/>
      <c r="C46" s="183"/>
      <c r="D46" s="183"/>
      <c r="E46" s="183"/>
      <c r="F46" s="183"/>
      <c r="G46" s="183"/>
      <c r="H46" s="183"/>
      <c r="I46" s="183"/>
      <c r="J46" s="183"/>
      <c r="K46" s="183"/>
      <c r="L46" s="183"/>
      <c r="M46" s="183"/>
      <c r="N46" s="183"/>
      <c r="O46" s="183"/>
      <c r="P46" s="183"/>
      <c r="Q46" s="183"/>
    </row>
    <row r="47" spans="2:17">
      <c r="B47" s="13"/>
      <c r="C47" s="22" t="s">
        <v>61</v>
      </c>
      <c r="D47" s="23"/>
      <c r="E47" s="23"/>
      <c r="F47" s="23"/>
      <c r="G47" s="24"/>
      <c r="H47" s="25"/>
      <c r="I47" s="14"/>
      <c r="J47" s="17" t="s">
        <v>11</v>
      </c>
      <c r="K47" s="17" t="s">
        <v>11</v>
      </c>
      <c r="L47" s="17" t="s">
        <v>11</v>
      </c>
      <c r="M47" s="17" t="s">
        <v>11</v>
      </c>
      <c r="N47" s="17" t="s">
        <v>11</v>
      </c>
      <c r="O47" s="17" t="s">
        <v>11</v>
      </c>
      <c r="P47" s="17" t="s">
        <v>11</v>
      </c>
      <c r="Q47" s="29" t="s">
        <v>11</v>
      </c>
    </row>
    <row r="48" spans="2:17" ht="28.5" customHeight="1">
      <c r="B48" s="13"/>
      <c r="C48" s="22" t="s">
        <v>62</v>
      </c>
      <c r="D48" s="23"/>
      <c r="E48" s="23"/>
      <c r="F48" s="23"/>
      <c r="G48" s="24"/>
      <c r="H48" s="25"/>
      <c r="I48" s="27"/>
      <c r="J48" s="28"/>
      <c r="K48" s="28"/>
      <c r="L48" s="28"/>
      <c r="M48" s="28"/>
      <c r="N48" s="28"/>
      <c r="O48" s="28"/>
      <c r="P48" s="28"/>
      <c r="Q48" s="28" t="s">
        <v>107</v>
      </c>
    </row>
  </sheetData>
  <mergeCells count="17">
    <mergeCell ref="C14:Q14"/>
    <mergeCell ref="C43:Q43"/>
    <mergeCell ref="B46:Q46"/>
    <mergeCell ref="M4:M5"/>
    <mergeCell ref="N4:N5"/>
    <mergeCell ref="O4:O5"/>
    <mergeCell ref="P4:P5"/>
    <mergeCell ref="B3:B5"/>
    <mergeCell ref="C3:G5"/>
    <mergeCell ref="H3:H5"/>
    <mergeCell ref="I3:I5"/>
    <mergeCell ref="J3:P3"/>
    <mergeCell ref="Q3:Q5"/>
    <mergeCell ref="J4:J5"/>
    <mergeCell ref="K4:K5"/>
    <mergeCell ref="L4:L5"/>
    <mergeCell ref="C9:Q9"/>
  </mergeCells>
  <pageMargins left="0.7" right="0.7" top="0.75" bottom="0.75" header="0.3" footer="0.3"/>
  <pageSetup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633805-0299-484F-863E-4116A84F19E5}">
  <sheetPr codeName="Sheet6"/>
  <dimension ref="B3:S48"/>
  <sheetViews>
    <sheetView topLeftCell="G1" workbookViewId="0">
      <selection activeCell="I27" sqref="I27"/>
    </sheetView>
  </sheetViews>
  <sheetFormatPr defaultRowHeight="14.25"/>
  <cols>
    <col min="1" max="7" width="9.06640625" style="3"/>
    <col min="8" max="8" width="12" style="3" customWidth="1"/>
    <col min="9" max="9" width="9.06640625" style="3"/>
    <col min="10" max="11" width="15.46484375" style="3" customWidth="1"/>
    <col min="12" max="12" width="17.46484375" style="3" customWidth="1"/>
    <col min="13" max="13" width="15.73046875" style="3" customWidth="1"/>
    <col min="14" max="14" width="13.265625" style="3" customWidth="1"/>
    <col min="15" max="15" width="14.46484375" style="3" customWidth="1"/>
    <col min="16" max="16" width="14.86328125" style="3" customWidth="1"/>
    <col min="17" max="17" width="16.1328125" style="3" customWidth="1"/>
    <col min="18" max="18" width="14.46484375" style="3" customWidth="1"/>
    <col min="19" max="19" width="13.73046875" style="3" customWidth="1"/>
    <col min="20" max="16384" width="9.06640625" style="3"/>
  </cols>
  <sheetData>
    <row r="3" spans="2:19">
      <c r="B3" s="175" t="s">
        <v>7</v>
      </c>
      <c r="C3" s="166" t="s">
        <v>8</v>
      </c>
      <c r="D3" s="167"/>
      <c r="E3" s="167"/>
      <c r="F3" s="167"/>
      <c r="G3" s="168"/>
      <c r="H3" s="175" t="s">
        <v>9</v>
      </c>
      <c r="I3" s="178" t="s">
        <v>10</v>
      </c>
      <c r="J3" s="166" t="s">
        <v>64</v>
      </c>
      <c r="K3" s="167"/>
      <c r="L3" s="167"/>
      <c r="M3" s="167"/>
      <c r="N3" s="167"/>
      <c r="O3" s="167"/>
      <c r="P3" s="167"/>
      <c r="Q3" s="167"/>
      <c r="R3" s="168"/>
      <c r="S3" s="175" t="s">
        <v>65</v>
      </c>
    </row>
    <row r="4" spans="2:19">
      <c r="B4" s="176"/>
      <c r="C4" s="169"/>
      <c r="D4" s="170"/>
      <c r="E4" s="170"/>
      <c r="F4" s="170"/>
      <c r="G4" s="171"/>
      <c r="H4" s="176"/>
      <c r="I4" s="179"/>
      <c r="J4" s="175" t="s">
        <v>0</v>
      </c>
      <c r="K4" s="178" t="s">
        <v>68</v>
      </c>
      <c r="L4" s="178" t="s">
        <v>1</v>
      </c>
      <c r="M4" s="184" t="s">
        <v>71</v>
      </c>
      <c r="N4" s="178" t="s">
        <v>3</v>
      </c>
      <c r="O4" s="184" t="s">
        <v>4</v>
      </c>
      <c r="P4" s="178" t="s">
        <v>5</v>
      </c>
      <c r="Q4" s="178" t="s">
        <v>6</v>
      </c>
      <c r="R4" s="178" t="s">
        <v>84</v>
      </c>
      <c r="S4" s="176"/>
    </row>
    <row r="5" spans="2:19">
      <c r="B5" s="177"/>
      <c r="C5" s="172"/>
      <c r="D5" s="173"/>
      <c r="E5" s="173"/>
      <c r="F5" s="173"/>
      <c r="G5" s="174"/>
      <c r="H5" s="177"/>
      <c r="I5" s="180"/>
      <c r="J5" s="177"/>
      <c r="K5" s="180"/>
      <c r="L5" s="180"/>
      <c r="M5" s="185"/>
      <c r="N5" s="180"/>
      <c r="O5" s="185"/>
      <c r="P5" s="180"/>
      <c r="Q5" s="180"/>
      <c r="R5" s="180"/>
      <c r="S5" s="177"/>
    </row>
    <row r="6" spans="2:19">
      <c r="B6" s="17">
        <v>1</v>
      </c>
      <c r="C6" s="14" t="s">
        <v>12</v>
      </c>
      <c r="D6" s="15"/>
      <c r="E6" s="15"/>
      <c r="F6" s="15"/>
      <c r="G6" s="16"/>
      <c r="H6" s="17"/>
      <c r="I6" s="17"/>
      <c r="J6" s="34" t="s">
        <v>25</v>
      </c>
      <c r="K6" s="34" t="s">
        <v>25</v>
      </c>
      <c r="L6" s="20" t="s">
        <v>25</v>
      </c>
      <c r="M6" s="20" t="s">
        <v>25</v>
      </c>
      <c r="N6" s="20" t="s">
        <v>25</v>
      </c>
      <c r="O6" s="20" t="s">
        <v>25</v>
      </c>
      <c r="P6" s="20" t="s">
        <v>25</v>
      </c>
      <c r="Q6" s="20" t="s">
        <v>25</v>
      </c>
      <c r="R6" s="20" t="s">
        <v>25</v>
      </c>
      <c r="S6" s="37" t="s">
        <v>25</v>
      </c>
    </row>
    <row r="7" spans="2:19">
      <c r="B7" s="17">
        <v>2</v>
      </c>
      <c r="C7" s="14" t="s">
        <v>14</v>
      </c>
      <c r="D7" s="15"/>
      <c r="E7" s="15"/>
      <c r="F7" s="15"/>
      <c r="G7" s="16"/>
      <c r="H7" s="17"/>
      <c r="I7" s="17"/>
      <c r="J7" s="34" t="s">
        <v>25</v>
      </c>
      <c r="K7" s="34" t="s">
        <v>25</v>
      </c>
      <c r="L7" s="20" t="s">
        <v>25</v>
      </c>
      <c r="M7" s="20" t="s">
        <v>25</v>
      </c>
      <c r="N7" s="20" t="s">
        <v>25</v>
      </c>
      <c r="O7" s="20" t="s">
        <v>25</v>
      </c>
      <c r="P7" s="20" t="s">
        <v>25</v>
      </c>
      <c r="Q7" s="20" t="s">
        <v>25</v>
      </c>
      <c r="R7" s="20" t="s">
        <v>25</v>
      </c>
      <c r="S7" s="37" t="s">
        <v>25</v>
      </c>
    </row>
    <row r="8" spans="2:19">
      <c r="B8" s="17"/>
      <c r="C8" s="14"/>
      <c r="D8" s="15"/>
      <c r="E8" s="15"/>
      <c r="F8" s="15"/>
      <c r="G8" s="16"/>
      <c r="H8" s="17"/>
      <c r="I8" s="17"/>
      <c r="J8" s="17"/>
      <c r="K8" s="17"/>
      <c r="L8" s="17"/>
      <c r="M8" s="17"/>
      <c r="N8" s="17"/>
      <c r="O8" s="17"/>
      <c r="P8" s="17"/>
      <c r="Q8" s="17"/>
      <c r="R8" s="17"/>
      <c r="S8" s="20"/>
    </row>
    <row r="9" spans="2:19">
      <c r="B9" s="18"/>
      <c r="C9" s="181" t="s">
        <v>17</v>
      </c>
      <c r="D9" s="181"/>
      <c r="E9" s="181"/>
      <c r="F9" s="181"/>
      <c r="G9" s="181"/>
      <c r="H9" s="181"/>
      <c r="I9" s="181"/>
      <c r="J9" s="181"/>
      <c r="K9" s="181"/>
      <c r="L9" s="181"/>
      <c r="M9" s="181"/>
      <c r="N9" s="181"/>
      <c r="O9" s="181"/>
      <c r="P9" s="181"/>
      <c r="Q9" s="181"/>
      <c r="R9" s="181"/>
      <c r="S9" s="182"/>
    </row>
    <row r="10" spans="2:19" ht="15.4">
      <c r="B10" s="17">
        <v>1</v>
      </c>
      <c r="C10" s="14" t="s">
        <v>18</v>
      </c>
      <c r="D10" s="15"/>
      <c r="E10" s="15"/>
      <c r="F10" s="15"/>
      <c r="G10" s="16"/>
      <c r="H10" s="17" t="s">
        <v>19</v>
      </c>
      <c r="I10" s="17" t="s">
        <v>20</v>
      </c>
      <c r="J10" s="19" t="s">
        <v>25</v>
      </c>
      <c r="K10" s="19" t="s">
        <v>25</v>
      </c>
      <c r="L10" s="19" t="s">
        <v>25</v>
      </c>
      <c r="M10" s="19" t="s">
        <v>25</v>
      </c>
      <c r="N10" s="19" t="s">
        <v>25</v>
      </c>
      <c r="O10" s="19" t="s">
        <v>25</v>
      </c>
      <c r="P10" s="19" t="s">
        <v>25</v>
      </c>
      <c r="Q10" s="19" t="s">
        <v>25</v>
      </c>
      <c r="R10" s="19" t="s">
        <v>25</v>
      </c>
      <c r="S10" s="30" t="s">
        <v>25</v>
      </c>
    </row>
    <row r="11" spans="2:19">
      <c r="B11" s="17">
        <v>2</v>
      </c>
      <c r="C11" s="14" t="s">
        <v>21</v>
      </c>
      <c r="D11" s="15"/>
      <c r="E11" s="15"/>
      <c r="F11" s="15"/>
      <c r="G11" s="16"/>
      <c r="H11" s="17" t="s">
        <v>2</v>
      </c>
      <c r="I11" s="5">
        <v>1000</v>
      </c>
      <c r="J11" s="5">
        <v>172</v>
      </c>
      <c r="K11" s="5">
        <v>208</v>
      </c>
      <c r="L11" s="5">
        <v>200</v>
      </c>
      <c r="M11" s="5">
        <v>216</v>
      </c>
      <c r="N11" s="5">
        <v>248</v>
      </c>
      <c r="O11" s="5">
        <v>228</v>
      </c>
      <c r="P11" s="5">
        <v>248</v>
      </c>
      <c r="Q11" s="5">
        <v>220</v>
      </c>
      <c r="R11" s="5">
        <v>240</v>
      </c>
      <c r="S11" s="30">
        <f>AVERAGE(J11:R11)</f>
        <v>220</v>
      </c>
    </row>
    <row r="12" spans="2:19">
      <c r="B12" s="17">
        <v>3</v>
      </c>
      <c r="C12" s="14" t="s">
        <v>22</v>
      </c>
      <c r="D12" s="15"/>
      <c r="E12" s="15"/>
      <c r="F12" s="15"/>
      <c r="G12" s="16"/>
      <c r="H12" s="17" t="s">
        <v>2</v>
      </c>
      <c r="I12" s="5">
        <v>50</v>
      </c>
      <c r="J12" s="6">
        <v>30</v>
      </c>
      <c r="K12" s="6">
        <v>199</v>
      </c>
      <c r="L12" s="6">
        <v>251</v>
      </c>
      <c r="M12" s="6">
        <v>280.8</v>
      </c>
      <c r="N12" s="6">
        <v>147.4</v>
      </c>
      <c r="O12" s="6">
        <v>135</v>
      </c>
      <c r="P12" s="6">
        <v>108.4</v>
      </c>
      <c r="Q12" s="6">
        <v>20.2</v>
      </c>
      <c r="R12" s="6">
        <v>11.8</v>
      </c>
      <c r="S12" s="30">
        <f>AVERAGE(J12:R12)</f>
        <v>131.51111111111109</v>
      </c>
    </row>
    <row r="13" spans="2:19">
      <c r="B13" s="17"/>
      <c r="C13" s="14"/>
      <c r="D13" s="15"/>
      <c r="E13" s="15"/>
      <c r="F13" s="15"/>
      <c r="G13" s="16"/>
      <c r="H13" s="17"/>
      <c r="I13" s="17"/>
      <c r="J13" s="19"/>
      <c r="K13" s="19"/>
      <c r="L13" s="19"/>
      <c r="M13" s="19"/>
      <c r="N13" s="19"/>
      <c r="O13" s="19"/>
      <c r="P13" s="19"/>
      <c r="Q13" s="19"/>
      <c r="R13" s="19"/>
      <c r="S13" s="19"/>
    </row>
    <row r="14" spans="2:19">
      <c r="B14" s="18"/>
      <c r="C14" s="181" t="s">
        <v>23</v>
      </c>
      <c r="D14" s="181"/>
      <c r="E14" s="181"/>
      <c r="F14" s="181"/>
      <c r="G14" s="181"/>
      <c r="H14" s="181"/>
      <c r="I14" s="181"/>
      <c r="J14" s="181"/>
      <c r="K14" s="181"/>
      <c r="L14" s="181"/>
      <c r="M14" s="181"/>
      <c r="N14" s="181"/>
      <c r="O14" s="181"/>
      <c r="P14" s="181"/>
      <c r="Q14" s="181"/>
      <c r="R14" s="181"/>
      <c r="S14" s="182"/>
    </row>
    <row r="15" spans="2:19">
      <c r="B15" s="17">
        <v>1</v>
      </c>
      <c r="C15" s="14" t="s">
        <v>24</v>
      </c>
      <c r="D15" s="15"/>
      <c r="E15" s="15"/>
      <c r="F15" s="15"/>
      <c r="G15" s="16"/>
      <c r="H15" s="17" t="s">
        <v>25</v>
      </c>
      <c r="I15" s="4" t="s">
        <v>26</v>
      </c>
      <c r="J15" s="19">
        <v>7.73</v>
      </c>
      <c r="K15" s="19">
        <v>7.54</v>
      </c>
      <c r="L15" s="19">
        <v>7.27</v>
      </c>
      <c r="M15" s="19">
        <v>7.43</v>
      </c>
      <c r="N15" s="19">
        <v>7.3</v>
      </c>
      <c r="O15" s="19">
        <v>7.29</v>
      </c>
      <c r="P15" s="19">
        <v>7.19</v>
      </c>
      <c r="Q15" s="19">
        <v>6.55</v>
      </c>
      <c r="R15" s="19">
        <v>6.48</v>
      </c>
      <c r="S15" s="30">
        <f>AVERAGE(J15:R15)</f>
        <v>7.1977777777777767</v>
      </c>
    </row>
    <row r="16" spans="2:19">
      <c r="B16" s="17">
        <v>2</v>
      </c>
      <c r="C16" s="14" t="s">
        <v>27</v>
      </c>
      <c r="D16" s="15"/>
      <c r="E16" s="15"/>
      <c r="F16" s="15"/>
      <c r="G16" s="16"/>
      <c r="H16" s="17" t="s">
        <v>2</v>
      </c>
      <c r="I16" s="20" t="s">
        <v>25</v>
      </c>
      <c r="J16" s="8">
        <v>1.1017999999999999</v>
      </c>
      <c r="K16" s="8">
        <v>1.2534000000000001</v>
      </c>
      <c r="L16" s="8">
        <v>1.0309999999999999</v>
      </c>
      <c r="M16" s="8">
        <v>1.1531</v>
      </c>
      <c r="N16" s="8">
        <v>1.3996999999999999</v>
      </c>
      <c r="O16" s="8">
        <v>1.8551</v>
      </c>
      <c r="P16" s="8">
        <v>1.4622999999999999</v>
      </c>
      <c r="Q16" s="8">
        <v>6.1699999999999998E-2</v>
      </c>
      <c r="R16" s="8">
        <v>0.18</v>
      </c>
      <c r="S16" s="30">
        <f t="shared" ref="S16:S39" si="0">AVERAGE(J16:R16)</f>
        <v>1.0553444444444444</v>
      </c>
    </row>
    <row r="17" spans="2:19">
      <c r="B17" s="17">
        <v>3</v>
      </c>
      <c r="C17" s="14" t="s">
        <v>28</v>
      </c>
      <c r="D17" s="15"/>
      <c r="E17" s="15"/>
      <c r="F17" s="15"/>
      <c r="G17" s="16"/>
      <c r="H17" s="17" t="s">
        <v>2</v>
      </c>
      <c r="I17" s="20" t="s">
        <v>25</v>
      </c>
      <c r="J17" s="9">
        <v>0.36899999999999999</v>
      </c>
      <c r="K17" s="9">
        <v>0.53700000000000003</v>
      </c>
      <c r="L17" s="9">
        <v>0.51300000000000001</v>
      </c>
      <c r="M17" s="9">
        <v>0.436</v>
      </c>
      <c r="N17" s="9">
        <v>0.34599999999999997</v>
      </c>
      <c r="O17" s="9">
        <v>0.499</v>
      </c>
      <c r="P17" s="9">
        <v>1.7370000000000001</v>
      </c>
      <c r="Q17" s="9">
        <v>0.17899999999999999</v>
      </c>
      <c r="R17" s="9">
        <v>0.105</v>
      </c>
      <c r="S17" s="30">
        <f t="shared" si="0"/>
        <v>0.52455555555555566</v>
      </c>
    </row>
    <row r="18" spans="2:19">
      <c r="B18" s="17">
        <v>4</v>
      </c>
      <c r="C18" s="14" t="s">
        <v>29</v>
      </c>
      <c r="D18" s="15"/>
      <c r="E18" s="15"/>
      <c r="F18" s="15"/>
      <c r="G18" s="16"/>
      <c r="H18" s="17" t="s">
        <v>2</v>
      </c>
      <c r="I18" s="6">
        <v>1.5</v>
      </c>
      <c r="J18" s="9">
        <v>0.15010000000000001</v>
      </c>
      <c r="K18" s="9">
        <v>5.2999999999999999E-2</v>
      </c>
      <c r="L18" s="9">
        <v>0.20080000000000001</v>
      </c>
      <c r="M18" s="9">
        <v>0.20039999999999999</v>
      </c>
      <c r="N18" s="9">
        <v>0.21429999999999999</v>
      </c>
      <c r="O18" s="9">
        <v>0.2631</v>
      </c>
      <c r="P18" s="9">
        <v>0.15740000000000001</v>
      </c>
      <c r="Q18" s="9">
        <v>0.20399999999999999</v>
      </c>
      <c r="R18" s="9">
        <v>0.17269999999999999</v>
      </c>
      <c r="S18" s="30">
        <f t="shared" si="0"/>
        <v>0.17953333333333335</v>
      </c>
    </row>
    <row r="19" spans="2:19">
      <c r="B19" s="17">
        <v>5</v>
      </c>
      <c r="C19" s="14" t="s">
        <v>30</v>
      </c>
      <c r="D19" s="15"/>
      <c r="E19" s="15"/>
      <c r="F19" s="15"/>
      <c r="G19" s="16"/>
      <c r="H19" s="17" t="s">
        <v>2</v>
      </c>
      <c r="I19" s="7">
        <v>0.01</v>
      </c>
      <c r="J19" s="8">
        <v>2.0000000000000001E-4</v>
      </c>
      <c r="K19" s="8">
        <v>2.0000000000000001E-4</v>
      </c>
      <c r="L19" s="8">
        <v>2.0000000000000001E-4</v>
      </c>
      <c r="M19" s="8">
        <v>2.0000000000000001E-4</v>
      </c>
      <c r="N19" s="8">
        <v>2.0000000000000001E-4</v>
      </c>
      <c r="O19" s="8">
        <v>2.0000000000000001E-4</v>
      </c>
      <c r="P19" s="8">
        <v>2.0000000000000001E-4</v>
      </c>
      <c r="Q19" s="8">
        <v>2.0000000000000001E-4</v>
      </c>
      <c r="R19" s="8">
        <v>2.0000000000000001E-4</v>
      </c>
      <c r="S19" s="30">
        <f t="shared" si="0"/>
        <v>2.0000000000000004E-4</v>
      </c>
    </row>
    <row r="20" spans="2:19" ht="15.4">
      <c r="B20" s="17">
        <v>6</v>
      </c>
      <c r="C20" s="14" t="s">
        <v>31</v>
      </c>
      <c r="D20" s="15"/>
      <c r="E20" s="15"/>
      <c r="F20" s="15"/>
      <c r="G20" s="16"/>
      <c r="H20" s="17" t="s">
        <v>2</v>
      </c>
      <c r="I20" s="5">
        <v>600</v>
      </c>
      <c r="J20" s="7">
        <v>7.5</v>
      </c>
      <c r="K20" s="7">
        <v>6.5</v>
      </c>
      <c r="L20" s="7">
        <v>6.5</v>
      </c>
      <c r="M20" s="7">
        <v>7</v>
      </c>
      <c r="N20" s="7">
        <v>9</v>
      </c>
      <c r="O20" s="7">
        <v>9.5</v>
      </c>
      <c r="P20" s="7">
        <v>10</v>
      </c>
      <c r="Q20" s="7">
        <v>7.66</v>
      </c>
      <c r="R20" s="7">
        <v>6.13</v>
      </c>
      <c r="S20" s="30">
        <f t="shared" si="0"/>
        <v>7.7544444444444434</v>
      </c>
    </row>
    <row r="21" spans="2:19">
      <c r="B21" s="17">
        <v>7</v>
      </c>
      <c r="C21" s="14" t="s">
        <v>32</v>
      </c>
      <c r="D21" s="15"/>
      <c r="E21" s="15"/>
      <c r="F21" s="15"/>
      <c r="G21" s="16"/>
      <c r="H21" s="17" t="s">
        <v>2</v>
      </c>
      <c r="I21" s="7">
        <v>0.03</v>
      </c>
      <c r="J21" s="6">
        <v>0</v>
      </c>
      <c r="K21" s="6">
        <v>0</v>
      </c>
      <c r="L21" s="6">
        <v>0</v>
      </c>
      <c r="M21" s="6">
        <v>0</v>
      </c>
      <c r="N21" s="6">
        <v>0</v>
      </c>
      <c r="O21" s="6">
        <v>0</v>
      </c>
      <c r="P21" s="6">
        <v>0</v>
      </c>
      <c r="Q21" s="6">
        <v>0</v>
      </c>
      <c r="R21" s="6">
        <v>0</v>
      </c>
      <c r="S21" s="30">
        <f t="shared" si="0"/>
        <v>0</v>
      </c>
    </row>
    <row r="22" spans="2:19">
      <c r="B22" s="17">
        <v>8</v>
      </c>
      <c r="C22" s="14" t="s">
        <v>33</v>
      </c>
      <c r="D22" s="15"/>
      <c r="E22" s="15"/>
      <c r="F22" s="15"/>
      <c r="G22" s="16"/>
      <c r="H22" s="17" t="s">
        <v>2</v>
      </c>
      <c r="I22" s="7">
        <v>0.05</v>
      </c>
      <c r="J22" s="8">
        <v>2.0000000000000001E-4</v>
      </c>
      <c r="K22" s="8">
        <v>2.0000000000000001E-4</v>
      </c>
      <c r="L22" s="8">
        <v>2.0000000000000001E-4</v>
      </c>
      <c r="M22" s="8">
        <v>2.0000000000000001E-4</v>
      </c>
      <c r="N22" s="8">
        <v>2.0000000000000001E-4</v>
      </c>
      <c r="O22" s="8">
        <v>2.0000000000000001E-4</v>
      </c>
      <c r="P22" s="8">
        <v>2.0000000000000001E-4</v>
      </c>
      <c r="Q22" s="8">
        <v>2.0000000000000001E-4</v>
      </c>
      <c r="R22" s="8">
        <v>2.0000000000000001E-4</v>
      </c>
      <c r="S22" s="30">
        <f t="shared" si="0"/>
        <v>2.0000000000000004E-4</v>
      </c>
    </row>
    <row r="23" spans="2:19">
      <c r="B23" s="17">
        <v>9</v>
      </c>
      <c r="C23" s="14" t="s">
        <v>34</v>
      </c>
      <c r="D23" s="15"/>
      <c r="E23" s="15"/>
      <c r="F23" s="15"/>
      <c r="G23" s="16"/>
      <c r="H23" s="17" t="s">
        <v>2</v>
      </c>
      <c r="I23" s="20" t="s">
        <v>25</v>
      </c>
      <c r="J23" s="8">
        <v>0.2606</v>
      </c>
      <c r="K23" s="8">
        <v>0.2351</v>
      </c>
      <c r="L23" s="8">
        <v>0.18429999999999999</v>
      </c>
      <c r="M23" s="8">
        <v>0.22439999999999999</v>
      </c>
      <c r="N23" s="8">
        <v>0.14319999999999999</v>
      </c>
      <c r="O23" s="8">
        <v>0.3291</v>
      </c>
      <c r="P23" s="8">
        <v>0.51249999999999996</v>
      </c>
      <c r="Q23" s="8">
        <v>0.71440000000000003</v>
      </c>
      <c r="R23" s="8">
        <v>0.66239999999999999</v>
      </c>
      <c r="S23" s="30">
        <f t="shared" si="0"/>
        <v>0.36288888888888887</v>
      </c>
    </row>
    <row r="24" spans="2:19" ht="15.75">
      <c r="B24" s="17">
        <v>10</v>
      </c>
      <c r="C24" s="14" t="s">
        <v>35</v>
      </c>
      <c r="D24" s="15"/>
      <c r="E24" s="15"/>
      <c r="F24" s="15"/>
      <c r="G24" s="16"/>
      <c r="H24" s="17" t="s">
        <v>2</v>
      </c>
      <c r="I24" s="5">
        <v>10</v>
      </c>
      <c r="J24" s="9">
        <v>0.50600000000000001</v>
      </c>
      <c r="K24" s="9">
        <v>0.26100000000000001</v>
      </c>
      <c r="L24" s="9">
        <v>0.28199999999999997</v>
      </c>
      <c r="M24" s="9">
        <v>0.20599999999999999</v>
      </c>
      <c r="N24" s="9">
        <v>0.34399999999999997</v>
      </c>
      <c r="O24" s="9">
        <v>0.42299999999999999</v>
      </c>
      <c r="P24" s="9">
        <v>0.45400000000000001</v>
      </c>
      <c r="Q24" s="9">
        <v>0.108</v>
      </c>
      <c r="R24" s="9">
        <v>3.2000000000000001E-2</v>
      </c>
      <c r="S24" s="30">
        <f t="shared" si="0"/>
        <v>0.29066666666666668</v>
      </c>
    </row>
    <row r="25" spans="2:19" ht="15.75">
      <c r="B25" s="17">
        <v>11</v>
      </c>
      <c r="C25" s="14" t="s">
        <v>36</v>
      </c>
      <c r="D25" s="15"/>
      <c r="E25" s="15"/>
      <c r="F25" s="15"/>
      <c r="G25" s="16"/>
      <c r="H25" s="17" t="s">
        <v>2</v>
      </c>
      <c r="I25" s="7">
        <v>0.06</v>
      </c>
      <c r="J25" s="9">
        <v>4.5999999999999999E-2</v>
      </c>
      <c r="K25" s="9">
        <v>1.7000000000000001E-2</v>
      </c>
      <c r="L25" s="9">
        <v>0.02</v>
      </c>
      <c r="M25" s="9">
        <v>1.6E-2</v>
      </c>
      <c r="N25" s="9">
        <v>2.5000000000000001E-2</v>
      </c>
      <c r="O25" s="9">
        <v>2.7E-2</v>
      </c>
      <c r="P25" s="9">
        <v>3.5000000000000003E-2</v>
      </c>
      <c r="Q25" s="9">
        <v>7.0000000000000001E-3</v>
      </c>
      <c r="R25" s="9">
        <v>4.0000000000000001E-3</v>
      </c>
      <c r="S25" s="30">
        <f t="shared" si="0"/>
        <v>2.1888888888888888E-2</v>
      </c>
    </row>
    <row r="26" spans="2:19">
      <c r="B26" s="17">
        <v>12</v>
      </c>
      <c r="C26" s="14" t="s">
        <v>37</v>
      </c>
      <c r="D26" s="15"/>
      <c r="E26" s="15"/>
      <c r="F26" s="15"/>
      <c r="G26" s="16"/>
      <c r="H26" s="17" t="s">
        <v>2</v>
      </c>
      <c r="I26" s="5" t="s">
        <v>38</v>
      </c>
      <c r="J26" s="7">
        <v>5.08</v>
      </c>
      <c r="K26" s="7">
        <v>1.88</v>
      </c>
      <c r="L26" s="7">
        <v>3.67</v>
      </c>
      <c r="M26" s="7">
        <v>2.29</v>
      </c>
      <c r="N26" s="7">
        <v>1.1100000000000001</v>
      </c>
      <c r="O26" s="7">
        <v>1.71</v>
      </c>
      <c r="P26" s="7">
        <v>3.28</v>
      </c>
      <c r="Q26" s="7">
        <v>5.67</v>
      </c>
      <c r="R26" s="7">
        <v>7</v>
      </c>
      <c r="S26" s="30">
        <f t="shared" si="0"/>
        <v>3.5211111111111109</v>
      </c>
    </row>
    <row r="27" spans="2:19">
      <c r="B27" s="17">
        <v>13</v>
      </c>
      <c r="C27" s="14" t="s">
        <v>39</v>
      </c>
      <c r="D27" s="15"/>
      <c r="E27" s="15"/>
      <c r="F27" s="15"/>
      <c r="G27" s="16"/>
      <c r="H27" s="17" t="s">
        <v>2</v>
      </c>
      <c r="I27" s="5">
        <v>3</v>
      </c>
      <c r="J27" s="7">
        <v>23.75</v>
      </c>
      <c r="K27" s="7">
        <v>17.100000000000001</v>
      </c>
      <c r="L27" s="7">
        <v>15.84</v>
      </c>
      <c r="M27" s="7">
        <v>13.3</v>
      </c>
      <c r="N27" s="7">
        <v>21.6</v>
      </c>
      <c r="O27" s="7">
        <v>19.95</v>
      </c>
      <c r="P27" s="7">
        <v>16.149999999999999</v>
      </c>
      <c r="Q27" s="7">
        <v>54.72</v>
      </c>
      <c r="R27" s="7">
        <v>25.65</v>
      </c>
      <c r="S27" s="30">
        <f t="shared" si="0"/>
        <v>23.117777777777778</v>
      </c>
    </row>
    <row r="28" spans="2:19">
      <c r="B28" s="17">
        <v>14</v>
      </c>
      <c r="C28" s="14" t="s">
        <v>40</v>
      </c>
      <c r="D28" s="15"/>
      <c r="E28" s="15"/>
      <c r="F28" s="15"/>
      <c r="G28" s="16"/>
      <c r="H28" s="17" t="s">
        <v>2</v>
      </c>
      <c r="I28" s="5">
        <v>25</v>
      </c>
      <c r="J28" s="7">
        <v>38.58</v>
      </c>
      <c r="K28" s="7">
        <v>23</v>
      </c>
      <c r="L28" s="7">
        <v>29.29</v>
      </c>
      <c r="M28" s="7">
        <v>17.62</v>
      </c>
      <c r="N28" s="7">
        <v>31.57</v>
      </c>
      <c r="O28" s="7">
        <v>26.82</v>
      </c>
      <c r="P28" s="7">
        <v>24.06</v>
      </c>
      <c r="Q28" s="7">
        <v>69.569999999999993</v>
      </c>
      <c r="R28" s="7">
        <v>58.43</v>
      </c>
      <c r="S28" s="30">
        <f t="shared" si="0"/>
        <v>35.437777777777775</v>
      </c>
    </row>
    <row r="29" spans="2:19">
      <c r="B29" s="17">
        <v>15</v>
      </c>
      <c r="C29" s="14" t="s">
        <v>41</v>
      </c>
      <c r="D29" s="15"/>
      <c r="E29" s="15"/>
      <c r="F29" s="15"/>
      <c r="G29" s="16"/>
      <c r="H29" s="17" t="s">
        <v>2</v>
      </c>
      <c r="I29" s="7">
        <v>0.05</v>
      </c>
      <c r="J29" s="9">
        <v>4.5999999999999999E-2</v>
      </c>
      <c r="K29" s="9">
        <v>2.5000000000000001E-2</v>
      </c>
      <c r="L29" s="9">
        <v>0.20100000000000001</v>
      </c>
      <c r="M29" s="9">
        <v>4.5999999999999999E-2</v>
      </c>
      <c r="N29" s="9">
        <v>1.6E-2</v>
      </c>
      <c r="O29" s="9">
        <v>2.1999999999999999E-2</v>
      </c>
      <c r="P29" s="9">
        <v>0.28100000000000003</v>
      </c>
      <c r="Q29" s="9">
        <v>1.7999999999999999E-2</v>
      </c>
      <c r="R29" s="9">
        <v>5.3999999999999999E-2</v>
      </c>
      <c r="S29" s="30">
        <f t="shared" si="0"/>
        <v>7.877777777777778E-2</v>
      </c>
    </row>
    <row r="30" spans="2:19">
      <c r="B30" s="17">
        <v>16</v>
      </c>
      <c r="C30" s="14" t="s">
        <v>42</v>
      </c>
      <c r="D30" s="15"/>
      <c r="E30" s="15"/>
      <c r="F30" s="15"/>
      <c r="G30" s="16"/>
      <c r="H30" s="17" t="s">
        <v>2</v>
      </c>
      <c r="I30" s="7">
        <v>0.02</v>
      </c>
      <c r="J30" s="6">
        <v>0</v>
      </c>
      <c r="K30" s="6">
        <v>0</v>
      </c>
      <c r="L30" s="6">
        <v>0</v>
      </c>
      <c r="M30" s="6">
        <v>0</v>
      </c>
      <c r="N30" s="6">
        <v>0</v>
      </c>
      <c r="O30" s="6">
        <v>0</v>
      </c>
      <c r="P30" s="6">
        <v>0</v>
      </c>
      <c r="Q30" s="6">
        <v>0</v>
      </c>
      <c r="R30" s="6">
        <v>0</v>
      </c>
      <c r="S30" s="30">
        <f t="shared" si="0"/>
        <v>0</v>
      </c>
    </row>
    <row r="31" spans="2:19" ht="15.75">
      <c r="B31" s="17">
        <v>17</v>
      </c>
      <c r="C31" s="14" t="s">
        <v>43</v>
      </c>
      <c r="D31" s="15"/>
      <c r="E31" s="15"/>
      <c r="F31" s="15"/>
      <c r="G31" s="16"/>
      <c r="H31" s="17" t="s">
        <v>2</v>
      </c>
      <c r="I31" s="20" t="s">
        <v>25</v>
      </c>
      <c r="J31" s="9">
        <v>15.452999999999999</v>
      </c>
      <c r="K31" s="9">
        <v>22.018999999999998</v>
      </c>
      <c r="L31" s="9">
        <v>0.20100000000000001</v>
      </c>
      <c r="M31" s="9">
        <v>51.027999999999999</v>
      </c>
      <c r="N31" s="9">
        <v>18.867000000000001</v>
      </c>
      <c r="O31" s="9">
        <v>6.4740000000000002</v>
      </c>
      <c r="P31" s="9">
        <v>16.757999999999999</v>
      </c>
      <c r="Q31" s="9">
        <v>39.564999999999998</v>
      </c>
      <c r="R31" s="9">
        <v>43.487000000000002</v>
      </c>
      <c r="S31" s="30">
        <f t="shared" si="0"/>
        <v>23.761333333333333</v>
      </c>
    </row>
    <row r="32" spans="2:19" ht="15.75">
      <c r="B32" s="17">
        <v>18</v>
      </c>
      <c r="C32" s="14" t="s">
        <v>44</v>
      </c>
      <c r="D32" s="15"/>
      <c r="E32" s="15"/>
      <c r="F32" s="15"/>
      <c r="G32" s="16"/>
      <c r="H32" s="17" t="s">
        <v>2</v>
      </c>
      <c r="I32" s="9">
        <v>2E-3</v>
      </c>
      <c r="J32" s="8">
        <v>1.1000000000000001E-3</v>
      </c>
      <c r="K32" s="8">
        <v>1.1000000000000001E-3</v>
      </c>
      <c r="L32" s="8">
        <v>1.1000000000000001E-3</v>
      </c>
      <c r="M32" s="8">
        <v>1.1000000000000001E-3</v>
      </c>
      <c r="N32" s="8">
        <v>1.1000000000000001E-3</v>
      </c>
      <c r="O32" s="8">
        <v>1.1000000000000001E-3</v>
      </c>
      <c r="P32" s="8">
        <v>1.1000000000000001E-3</v>
      </c>
      <c r="Q32" s="8">
        <v>1.1000000000000001E-3</v>
      </c>
      <c r="R32" s="8">
        <v>1.1000000000000001E-3</v>
      </c>
      <c r="S32" s="30">
        <f t="shared" si="0"/>
        <v>1.1000000000000001E-3</v>
      </c>
    </row>
    <row r="33" spans="2:19">
      <c r="B33" s="17">
        <v>19</v>
      </c>
      <c r="C33" s="14" t="s">
        <v>45</v>
      </c>
      <c r="D33" s="15"/>
      <c r="E33" s="15"/>
      <c r="F33" s="15"/>
      <c r="G33" s="16"/>
      <c r="H33" s="17" t="s">
        <v>2</v>
      </c>
      <c r="I33" s="7">
        <v>0.02</v>
      </c>
      <c r="J33" s="8">
        <v>7.7999999999999996E-3</v>
      </c>
      <c r="K33" s="8">
        <v>7.7999999999999996E-3</v>
      </c>
      <c r="L33" s="8">
        <v>7.7999999999999996E-3</v>
      </c>
      <c r="M33" s="8">
        <v>7.7999999999999996E-3</v>
      </c>
      <c r="N33" s="8">
        <v>7.7999999999999996E-3</v>
      </c>
      <c r="O33" s="8">
        <v>7.7999999999999996E-3</v>
      </c>
      <c r="P33" s="8">
        <v>7.7999999999999996E-3</v>
      </c>
      <c r="Q33" s="8">
        <v>7.7999999999999996E-3</v>
      </c>
      <c r="R33" s="8">
        <v>7.7999999999999996E-3</v>
      </c>
      <c r="S33" s="30">
        <f t="shared" si="0"/>
        <v>7.7999999999999996E-3</v>
      </c>
    </row>
    <row r="34" spans="2:19">
      <c r="B34" s="17">
        <v>20</v>
      </c>
      <c r="C34" s="14" t="s">
        <v>46</v>
      </c>
      <c r="D34" s="15"/>
      <c r="E34" s="15"/>
      <c r="F34" s="15"/>
      <c r="G34" s="16"/>
      <c r="H34" s="17" t="s">
        <v>2</v>
      </c>
      <c r="I34" s="7">
        <v>0.03</v>
      </c>
      <c r="J34" s="8">
        <v>1.9E-3</v>
      </c>
      <c r="K34" s="8">
        <v>1.9E-3</v>
      </c>
      <c r="L34" s="8">
        <v>7.7999999999999996E-3</v>
      </c>
      <c r="M34" s="8">
        <v>1.9E-3</v>
      </c>
      <c r="N34" s="8">
        <v>1.9E-3</v>
      </c>
      <c r="O34" s="8">
        <v>1.9E-3</v>
      </c>
      <c r="P34" s="8">
        <v>1.9E-3</v>
      </c>
      <c r="Q34" s="8">
        <v>1.9E-3</v>
      </c>
      <c r="R34" s="8">
        <v>1.9E-3</v>
      </c>
      <c r="S34" s="30">
        <f t="shared" si="0"/>
        <v>2.5555555555555553E-3</v>
      </c>
    </row>
    <row r="35" spans="2:19" ht="15.75">
      <c r="B35" s="17">
        <v>21</v>
      </c>
      <c r="C35" s="14" t="s">
        <v>47</v>
      </c>
      <c r="D35" s="15"/>
      <c r="E35" s="15"/>
      <c r="F35" s="15"/>
      <c r="G35" s="16"/>
      <c r="H35" s="17" t="s">
        <v>2</v>
      </c>
      <c r="I35" s="6">
        <v>0.2</v>
      </c>
      <c r="J35" s="8">
        <v>6.2799999999999995E-2</v>
      </c>
      <c r="K35" s="8">
        <v>0.09</v>
      </c>
      <c r="L35" s="8">
        <v>7.7700000000000005E-2</v>
      </c>
      <c r="M35" s="8">
        <v>8.1500000000000003E-2</v>
      </c>
      <c r="N35" s="8">
        <v>5.8299999999999998E-2</v>
      </c>
      <c r="O35" s="8">
        <v>0.18079999999999999</v>
      </c>
      <c r="P35" s="8">
        <v>3.3099999999999997E-2</v>
      </c>
      <c r="Q35" s="8">
        <v>1.0500000000000001E-2</v>
      </c>
      <c r="R35" s="8">
        <v>1.0500000000000001E-2</v>
      </c>
      <c r="S35" s="30">
        <f t="shared" si="0"/>
        <v>6.724444444444444E-2</v>
      </c>
    </row>
    <row r="36" spans="2:19">
      <c r="B36" s="17">
        <v>22</v>
      </c>
      <c r="C36" s="14" t="s">
        <v>48</v>
      </c>
      <c r="D36" s="15"/>
      <c r="E36" s="15"/>
      <c r="F36" s="15"/>
      <c r="G36" s="16"/>
      <c r="H36" s="17" t="s">
        <v>2</v>
      </c>
      <c r="I36" s="9">
        <v>1E-3</v>
      </c>
      <c r="J36" s="8">
        <v>5.9999999999999995E-4</v>
      </c>
      <c r="K36" s="8">
        <v>5.9999999999999995E-4</v>
      </c>
      <c r="L36" s="8">
        <v>5.9999999999999995E-4</v>
      </c>
      <c r="M36" s="8">
        <v>5.9999999999999995E-4</v>
      </c>
      <c r="N36" s="8">
        <v>5.9999999999999995E-4</v>
      </c>
      <c r="O36" s="8">
        <v>5.9999999999999995E-4</v>
      </c>
      <c r="P36" s="8">
        <v>5.9999999999999995E-4</v>
      </c>
      <c r="Q36" s="8">
        <v>5.9999999999999995E-4</v>
      </c>
      <c r="R36" s="8">
        <v>5.9999999999999995E-4</v>
      </c>
      <c r="S36" s="30">
        <f t="shared" si="0"/>
        <v>5.9999999999999995E-4</v>
      </c>
    </row>
    <row r="37" spans="2:19">
      <c r="B37" s="17">
        <v>23</v>
      </c>
      <c r="C37" s="14" t="s">
        <v>49</v>
      </c>
      <c r="D37" s="15"/>
      <c r="E37" s="15"/>
      <c r="F37" s="15"/>
      <c r="G37" s="16"/>
      <c r="H37" s="17" t="s">
        <v>2</v>
      </c>
      <c r="I37" s="5">
        <v>1</v>
      </c>
      <c r="J37" s="9">
        <v>3.7999999999999999E-2</v>
      </c>
      <c r="K37" s="9">
        <v>0.03</v>
      </c>
      <c r="L37" s="9">
        <v>1.6E-2</v>
      </c>
      <c r="M37" s="9">
        <v>0.02</v>
      </c>
      <c r="N37" s="9">
        <v>1.7000000000000001E-2</v>
      </c>
      <c r="O37" s="9">
        <v>1.2999999999999999E-2</v>
      </c>
      <c r="P37" s="9">
        <v>4.8000000000000001E-2</v>
      </c>
      <c r="Q37" s="9">
        <v>1.0999999999999999E-2</v>
      </c>
      <c r="R37" s="9">
        <v>2.3E-2</v>
      </c>
      <c r="S37" s="30">
        <f t="shared" si="0"/>
        <v>2.4E-2</v>
      </c>
    </row>
    <row r="38" spans="2:19">
      <c r="B38" s="17">
        <v>24</v>
      </c>
      <c r="C38" s="14" t="s">
        <v>50</v>
      </c>
      <c r="D38" s="15"/>
      <c r="E38" s="15"/>
      <c r="F38" s="15"/>
      <c r="G38" s="16"/>
      <c r="H38" s="17" t="s">
        <v>2</v>
      </c>
      <c r="I38" s="6">
        <v>0.2</v>
      </c>
      <c r="J38" s="9">
        <v>2.1000000000000001E-2</v>
      </c>
      <c r="K38" s="9">
        <v>3.4000000000000002E-2</v>
      </c>
      <c r="L38" s="9">
        <v>5.8999999999999997E-2</v>
      </c>
      <c r="M38" s="9">
        <v>2.8000000000000001E-2</v>
      </c>
      <c r="N38" s="9">
        <v>5.0999999999999997E-2</v>
      </c>
      <c r="O38" s="9">
        <v>0.127</v>
      </c>
      <c r="P38" s="9">
        <v>8.5000000000000006E-2</v>
      </c>
      <c r="Q38" s="9">
        <v>1.2999999999999999E-2</v>
      </c>
      <c r="R38" s="9">
        <v>0.221</v>
      </c>
      <c r="S38" s="30">
        <f t="shared" si="0"/>
        <v>7.1000000000000008E-2</v>
      </c>
    </row>
    <row r="39" spans="2:19">
      <c r="B39" s="17">
        <v>25</v>
      </c>
      <c r="C39" s="14" t="s">
        <v>51</v>
      </c>
      <c r="D39" s="15"/>
      <c r="E39" s="15"/>
      <c r="F39" s="15"/>
      <c r="G39" s="16"/>
      <c r="H39" s="17" t="s">
        <v>2</v>
      </c>
      <c r="I39" s="7">
        <v>0.05</v>
      </c>
      <c r="J39" s="8">
        <v>2.0999999999999999E-3</v>
      </c>
      <c r="K39" s="8">
        <v>2.0999999999999999E-3</v>
      </c>
      <c r="L39" s="8">
        <v>2.0999999999999999E-3</v>
      </c>
      <c r="M39" s="8">
        <v>2.0999999999999999E-3</v>
      </c>
      <c r="N39" s="8">
        <v>2.0999999999999999E-3</v>
      </c>
      <c r="O39" s="8">
        <v>2.0999999999999999E-3</v>
      </c>
      <c r="P39" s="8">
        <v>2.0999999999999999E-3</v>
      </c>
      <c r="Q39" s="8">
        <v>2.0999999999999999E-3</v>
      </c>
      <c r="R39" s="8">
        <v>2.0999999999999999E-3</v>
      </c>
      <c r="S39" s="30">
        <f t="shared" si="0"/>
        <v>2.0999999999999999E-3</v>
      </c>
    </row>
    <row r="40" spans="2:19">
      <c r="B40" s="17">
        <v>26</v>
      </c>
      <c r="C40" s="14" t="s">
        <v>52</v>
      </c>
      <c r="D40" s="15"/>
      <c r="E40" s="15"/>
      <c r="F40" s="15"/>
      <c r="G40" s="16"/>
      <c r="H40" s="17" t="s">
        <v>53</v>
      </c>
      <c r="I40" s="17" t="s">
        <v>54</v>
      </c>
      <c r="J40" s="12" t="s">
        <v>25</v>
      </c>
      <c r="K40" s="12" t="s">
        <v>25</v>
      </c>
      <c r="L40" s="12" t="s">
        <v>25</v>
      </c>
      <c r="M40" s="12" t="s">
        <v>25</v>
      </c>
      <c r="N40" s="12" t="s">
        <v>25</v>
      </c>
      <c r="O40" s="12" t="s">
        <v>25</v>
      </c>
      <c r="P40" s="12" t="s">
        <v>25</v>
      </c>
      <c r="Q40" s="12" t="s">
        <v>25</v>
      </c>
      <c r="R40" s="12" t="s">
        <v>25</v>
      </c>
      <c r="S40" s="30" t="s">
        <v>25</v>
      </c>
    </row>
    <row r="41" spans="2:19">
      <c r="B41" s="17">
        <v>27</v>
      </c>
      <c r="C41" s="14" t="s">
        <v>55</v>
      </c>
      <c r="D41" s="15"/>
      <c r="E41" s="15"/>
      <c r="F41" s="15"/>
      <c r="G41" s="16"/>
      <c r="H41" s="21" t="s">
        <v>56</v>
      </c>
      <c r="I41" s="17" t="s">
        <v>54</v>
      </c>
      <c r="J41" s="33" t="s">
        <v>25</v>
      </c>
      <c r="K41" s="33" t="s">
        <v>25</v>
      </c>
      <c r="L41" s="33" t="s">
        <v>25</v>
      </c>
      <c r="M41" s="33" t="s">
        <v>25</v>
      </c>
      <c r="N41" s="33" t="s">
        <v>25</v>
      </c>
      <c r="O41" s="33" t="s">
        <v>25</v>
      </c>
      <c r="P41" s="33" t="s">
        <v>25</v>
      </c>
      <c r="Q41" s="33" t="s">
        <v>25</v>
      </c>
      <c r="R41" s="33" t="s">
        <v>25</v>
      </c>
      <c r="S41" s="30" t="s">
        <v>25</v>
      </c>
    </row>
    <row r="42" spans="2:19">
      <c r="B42" s="17"/>
      <c r="C42" s="14"/>
      <c r="D42" s="15"/>
      <c r="E42" s="15"/>
      <c r="F42" s="15"/>
      <c r="G42" s="16"/>
      <c r="H42" s="21"/>
      <c r="I42" s="17"/>
      <c r="J42" s="9"/>
      <c r="K42" s="9"/>
      <c r="L42" s="9"/>
      <c r="M42" s="9"/>
      <c r="N42" s="9"/>
      <c r="O42" s="9"/>
      <c r="P42" s="9"/>
      <c r="Q42" s="9"/>
      <c r="R42" s="9"/>
      <c r="S42" s="9"/>
    </row>
    <row r="43" spans="2:19">
      <c r="B43" s="18"/>
      <c r="C43" s="181" t="s">
        <v>57</v>
      </c>
      <c r="D43" s="181"/>
      <c r="E43" s="181"/>
      <c r="F43" s="181"/>
      <c r="G43" s="181"/>
      <c r="H43" s="181"/>
      <c r="I43" s="181"/>
      <c r="J43" s="181"/>
      <c r="K43" s="181"/>
      <c r="L43" s="181"/>
      <c r="M43" s="181"/>
      <c r="N43" s="181"/>
      <c r="O43" s="181"/>
      <c r="P43" s="181"/>
      <c r="Q43" s="181"/>
      <c r="R43" s="181"/>
      <c r="S43" s="182"/>
    </row>
    <row r="44" spans="2:19">
      <c r="B44" s="17">
        <v>1</v>
      </c>
      <c r="C44" s="14" t="s">
        <v>58</v>
      </c>
      <c r="D44" s="15"/>
      <c r="E44" s="15"/>
      <c r="F44" s="15"/>
      <c r="G44" s="16"/>
      <c r="H44" s="17" t="s">
        <v>59</v>
      </c>
      <c r="I44" s="5">
        <v>10000</v>
      </c>
      <c r="J44" s="10">
        <v>1600000</v>
      </c>
      <c r="K44" s="10">
        <v>1600000</v>
      </c>
      <c r="L44" s="11">
        <v>1600000</v>
      </c>
      <c r="M44" s="26">
        <v>1600000</v>
      </c>
      <c r="N44" s="10">
        <v>240000</v>
      </c>
      <c r="O44" s="11">
        <v>240000</v>
      </c>
      <c r="P44" s="11">
        <v>240000</v>
      </c>
      <c r="Q44" s="11">
        <v>3500</v>
      </c>
      <c r="R44" s="11">
        <v>5400</v>
      </c>
      <c r="S44" s="31">
        <f>AVERAGE(J44:R44)</f>
        <v>792100</v>
      </c>
    </row>
    <row r="45" spans="2:19">
      <c r="B45" s="17">
        <v>2</v>
      </c>
      <c r="C45" s="14" t="s">
        <v>60</v>
      </c>
      <c r="D45" s="15"/>
      <c r="E45" s="15"/>
      <c r="F45" s="15"/>
      <c r="G45" s="16"/>
      <c r="H45" s="17" t="s">
        <v>59</v>
      </c>
      <c r="I45" s="5">
        <v>1000</v>
      </c>
      <c r="J45" s="10">
        <v>160000</v>
      </c>
      <c r="K45" s="10">
        <v>180000</v>
      </c>
      <c r="L45" s="11">
        <v>1600000</v>
      </c>
      <c r="M45" s="26">
        <v>1600000</v>
      </c>
      <c r="N45" s="10">
        <v>240000</v>
      </c>
      <c r="O45" s="11">
        <v>240000</v>
      </c>
      <c r="P45" s="11">
        <v>240000</v>
      </c>
      <c r="Q45" s="11">
        <v>3500</v>
      </c>
      <c r="R45" s="11">
        <v>5400</v>
      </c>
      <c r="S45" s="31">
        <f>AVERAGE(J45:R45)</f>
        <v>474322.22222222225</v>
      </c>
    </row>
    <row r="46" spans="2:19">
      <c r="B46" s="183"/>
      <c r="C46" s="183"/>
      <c r="D46" s="183"/>
      <c r="E46" s="183"/>
      <c r="F46" s="183"/>
      <c r="G46" s="183"/>
      <c r="H46" s="183"/>
      <c r="I46" s="183"/>
      <c r="J46" s="183"/>
      <c r="K46" s="183"/>
      <c r="L46" s="183"/>
      <c r="M46" s="183"/>
      <c r="N46" s="183"/>
      <c r="O46" s="183"/>
      <c r="P46" s="183"/>
      <c r="Q46" s="183"/>
      <c r="R46" s="183"/>
      <c r="S46" s="183"/>
    </row>
    <row r="47" spans="2:19">
      <c r="B47" s="13"/>
      <c r="C47" s="22" t="s">
        <v>61</v>
      </c>
      <c r="D47" s="23"/>
      <c r="E47" s="23"/>
      <c r="F47" s="23"/>
      <c r="G47" s="24"/>
      <c r="H47" s="25"/>
      <c r="I47" s="14"/>
      <c r="J47" s="17" t="s">
        <v>11</v>
      </c>
      <c r="K47" s="17" t="s">
        <v>11</v>
      </c>
      <c r="L47" s="17" t="s">
        <v>11</v>
      </c>
      <c r="M47" s="17" t="s">
        <v>11</v>
      </c>
      <c r="N47" s="17" t="s">
        <v>11</v>
      </c>
      <c r="O47" s="17" t="s">
        <v>11</v>
      </c>
      <c r="P47" s="17" t="s">
        <v>11</v>
      </c>
      <c r="Q47" s="17" t="s">
        <v>11</v>
      </c>
      <c r="R47" s="17" t="s">
        <v>11</v>
      </c>
      <c r="S47" s="29" t="s">
        <v>11</v>
      </c>
    </row>
    <row r="48" spans="2:19" ht="28.5" customHeight="1">
      <c r="B48" s="13"/>
      <c r="C48" s="22" t="s">
        <v>109</v>
      </c>
      <c r="D48" s="23"/>
      <c r="E48" s="23"/>
      <c r="F48" s="23"/>
      <c r="G48" s="24"/>
      <c r="H48" s="25"/>
      <c r="I48" s="27"/>
      <c r="J48" s="38" t="s">
        <v>110</v>
      </c>
      <c r="K48" s="38" t="s">
        <v>115</v>
      </c>
      <c r="L48" s="38" t="s">
        <v>112</v>
      </c>
      <c r="M48" s="38" t="s">
        <v>116</v>
      </c>
      <c r="N48" s="38" t="s">
        <v>111</v>
      </c>
      <c r="O48" s="38" t="s">
        <v>111</v>
      </c>
      <c r="P48" s="38" t="s">
        <v>111</v>
      </c>
      <c r="Q48" s="38" t="s">
        <v>114</v>
      </c>
      <c r="R48" s="38" t="s">
        <v>113</v>
      </c>
      <c r="S48" s="38" t="s">
        <v>117</v>
      </c>
    </row>
  </sheetData>
  <mergeCells count="19">
    <mergeCell ref="L4:L5"/>
    <mergeCell ref="C9:S9"/>
    <mergeCell ref="C14:S14"/>
    <mergeCell ref="C43:S43"/>
    <mergeCell ref="B46:S46"/>
    <mergeCell ref="M4:M5"/>
    <mergeCell ref="N4:N5"/>
    <mergeCell ref="O4:O5"/>
    <mergeCell ref="P4:P5"/>
    <mergeCell ref="Q4:Q5"/>
    <mergeCell ref="R4:R5"/>
    <mergeCell ref="B3:B5"/>
    <mergeCell ref="C3:G5"/>
    <mergeCell ref="H3:H5"/>
    <mergeCell ref="I3:I5"/>
    <mergeCell ref="J3:R3"/>
    <mergeCell ref="S3:S5"/>
    <mergeCell ref="J4:J5"/>
    <mergeCell ref="K4:K5"/>
  </mergeCells>
  <pageMargins left="0.7" right="0.7" top="0.75" bottom="0.75" header="0.3" footer="0.3"/>
  <pageSetup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3B54CC-852C-4269-ACF6-821A97122007}">
  <sheetPr codeName="Sheet7"/>
  <dimension ref="B3:Q48"/>
  <sheetViews>
    <sheetView topLeftCell="A13" zoomScale="84" workbookViewId="0">
      <selection activeCell="L44" sqref="L44"/>
    </sheetView>
  </sheetViews>
  <sheetFormatPr defaultRowHeight="14.25"/>
  <cols>
    <col min="1" max="7" width="9.06640625" style="3"/>
    <col min="8" max="8" width="12" style="3" customWidth="1"/>
    <col min="9" max="9" width="9.06640625" style="3"/>
    <col min="10" max="11" width="15.46484375" style="3" customWidth="1"/>
    <col min="12" max="12" width="17.46484375" style="3" customWidth="1"/>
    <col min="13" max="13" width="13.265625" style="3" customWidth="1"/>
    <col min="14" max="14" width="14.46484375" style="3" customWidth="1"/>
    <col min="15" max="15" width="14.86328125" style="3" customWidth="1"/>
    <col min="16" max="16" width="16.1328125" style="3" customWidth="1"/>
    <col min="17" max="17" width="13.73046875" style="3" customWidth="1"/>
    <col min="18" max="16384" width="9.06640625" style="3"/>
  </cols>
  <sheetData>
    <row r="3" spans="2:17">
      <c r="B3" s="175" t="s">
        <v>7</v>
      </c>
      <c r="C3" s="166" t="s">
        <v>8</v>
      </c>
      <c r="D3" s="167"/>
      <c r="E3" s="167"/>
      <c r="F3" s="167"/>
      <c r="G3" s="168"/>
      <c r="H3" s="175" t="s">
        <v>9</v>
      </c>
      <c r="I3" s="178" t="s">
        <v>10</v>
      </c>
      <c r="J3" s="166" t="s">
        <v>64</v>
      </c>
      <c r="K3" s="167"/>
      <c r="L3" s="167"/>
      <c r="M3" s="167"/>
      <c r="N3" s="167"/>
      <c r="O3" s="167"/>
      <c r="P3" s="167"/>
      <c r="Q3" s="175" t="s">
        <v>65</v>
      </c>
    </row>
    <row r="4" spans="2:17">
      <c r="B4" s="176"/>
      <c r="C4" s="169"/>
      <c r="D4" s="170"/>
      <c r="E4" s="170"/>
      <c r="F4" s="170"/>
      <c r="G4" s="171"/>
      <c r="H4" s="176"/>
      <c r="I4" s="179"/>
      <c r="J4" s="175" t="s">
        <v>0</v>
      </c>
      <c r="K4" s="178" t="s">
        <v>68</v>
      </c>
      <c r="L4" s="178" t="s">
        <v>1</v>
      </c>
      <c r="M4" s="178" t="s">
        <v>3</v>
      </c>
      <c r="N4" s="184" t="s">
        <v>4</v>
      </c>
      <c r="O4" s="178" t="s">
        <v>5</v>
      </c>
      <c r="P4" s="178" t="s">
        <v>6</v>
      </c>
      <c r="Q4" s="176"/>
    </row>
    <row r="5" spans="2:17">
      <c r="B5" s="177"/>
      <c r="C5" s="172"/>
      <c r="D5" s="173"/>
      <c r="E5" s="173"/>
      <c r="F5" s="173"/>
      <c r="G5" s="174"/>
      <c r="H5" s="177"/>
      <c r="I5" s="180"/>
      <c r="J5" s="177"/>
      <c r="K5" s="180"/>
      <c r="L5" s="180"/>
      <c r="M5" s="180"/>
      <c r="N5" s="185"/>
      <c r="O5" s="180"/>
      <c r="P5" s="180"/>
      <c r="Q5" s="177"/>
    </row>
    <row r="6" spans="2:17">
      <c r="B6" s="17">
        <v>1</v>
      </c>
      <c r="C6" s="14" t="s">
        <v>12</v>
      </c>
      <c r="D6" s="15"/>
      <c r="E6" s="15"/>
      <c r="F6" s="15"/>
      <c r="G6" s="16"/>
      <c r="H6" s="17"/>
      <c r="I6" s="17"/>
      <c r="J6" s="34" t="s">
        <v>25</v>
      </c>
      <c r="K6" s="34" t="s">
        <v>25</v>
      </c>
      <c r="L6" s="20" t="s">
        <v>25</v>
      </c>
      <c r="M6" s="20" t="s">
        <v>25</v>
      </c>
      <c r="N6" s="20" t="s">
        <v>25</v>
      </c>
      <c r="O6" s="20" t="s">
        <v>25</v>
      </c>
      <c r="P6" s="20" t="s">
        <v>25</v>
      </c>
      <c r="Q6" s="37" t="s">
        <v>25</v>
      </c>
    </row>
    <row r="7" spans="2:17">
      <c r="B7" s="17">
        <v>2</v>
      </c>
      <c r="C7" s="14" t="s">
        <v>14</v>
      </c>
      <c r="D7" s="15"/>
      <c r="E7" s="15"/>
      <c r="F7" s="15"/>
      <c r="G7" s="16"/>
      <c r="H7" s="17"/>
      <c r="I7" s="17"/>
      <c r="J7" s="34" t="s">
        <v>25</v>
      </c>
      <c r="K7" s="34" t="s">
        <v>25</v>
      </c>
      <c r="L7" s="20" t="s">
        <v>25</v>
      </c>
      <c r="M7" s="20" t="s">
        <v>25</v>
      </c>
      <c r="N7" s="20" t="s">
        <v>25</v>
      </c>
      <c r="O7" s="20" t="s">
        <v>25</v>
      </c>
      <c r="P7" s="20" t="s">
        <v>25</v>
      </c>
      <c r="Q7" s="37" t="s">
        <v>25</v>
      </c>
    </row>
    <row r="8" spans="2:17">
      <c r="B8" s="17"/>
      <c r="C8" s="14"/>
      <c r="D8" s="15"/>
      <c r="E8" s="15"/>
      <c r="F8" s="15"/>
      <c r="G8" s="16"/>
      <c r="H8" s="17"/>
      <c r="I8" s="17"/>
      <c r="J8" s="17"/>
      <c r="K8" s="17"/>
      <c r="L8" s="17"/>
      <c r="M8" s="17"/>
      <c r="N8" s="17"/>
      <c r="O8" s="17"/>
      <c r="P8" s="17"/>
      <c r="Q8" s="20"/>
    </row>
    <row r="9" spans="2:17">
      <c r="B9" s="18"/>
      <c r="C9" s="181" t="s">
        <v>17</v>
      </c>
      <c r="D9" s="181"/>
      <c r="E9" s="181"/>
      <c r="F9" s="181"/>
      <c r="G9" s="181"/>
      <c r="H9" s="181"/>
      <c r="I9" s="181"/>
      <c r="J9" s="181"/>
      <c r="K9" s="181"/>
      <c r="L9" s="181"/>
      <c r="M9" s="181"/>
      <c r="N9" s="181"/>
      <c r="O9" s="181"/>
      <c r="P9" s="181"/>
      <c r="Q9" s="182"/>
    </row>
    <row r="10" spans="2:17" ht="15.4">
      <c r="B10" s="17">
        <v>1</v>
      </c>
      <c r="C10" s="14" t="s">
        <v>18</v>
      </c>
      <c r="D10" s="15"/>
      <c r="E10" s="15"/>
      <c r="F10" s="15"/>
      <c r="G10" s="16"/>
      <c r="H10" s="17" t="s">
        <v>19</v>
      </c>
      <c r="I10" s="17" t="s">
        <v>20</v>
      </c>
      <c r="J10" s="19" t="s">
        <v>25</v>
      </c>
      <c r="K10" s="19" t="s">
        <v>25</v>
      </c>
      <c r="L10" s="19" t="s">
        <v>25</v>
      </c>
      <c r="M10" s="19" t="s">
        <v>25</v>
      </c>
      <c r="N10" s="19" t="s">
        <v>25</v>
      </c>
      <c r="O10" s="19" t="s">
        <v>25</v>
      </c>
      <c r="P10" s="19" t="s">
        <v>25</v>
      </c>
      <c r="Q10" s="30" t="s">
        <v>25</v>
      </c>
    </row>
    <row r="11" spans="2:17">
      <c r="B11" s="17">
        <v>2</v>
      </c>
      <c r="C11" s="14" t="s">
        <v>21</v>
      </c>
      <c r="D11" s="15"/>
      <c r="E11" s="15"/>
      <c r="F11" s="15"/>
      <c r="G11" s="16"/>
      <c r="H11" s="17" t="s">
        <v>2</v>
      </c>
      <c r="I11" s="5">
        <v>1000</v>
      </c>
      <c r="J11" s="5">
        <v>167.5</v>
      </c>
      <c r="K11" s="5">
        <v>280</v>
      </c>
      <c r="L11" s="5">
        <v>309</v>
      </c>
      <c r="M11" s="5">
        <v>319.5</v>
      </c>
      <c r="N11" s="5">
        <v>411</v>
      </c>
      <c r="O11" s="5">
        <v>322.5</v>
      </c>
      <c r="P11" s="5">
        <v>255.5</v>
      </c>
      <c r="Q11" s="30">
        <f>AVERAGE(J11:P11)</f>
        <v>295</v>
      </c>
    </row>
    <row r="12" spans="2:17">
      <c r="B12" s="17">
        <v>3</v>
      </c>
      <c r="C12" s="14" t="s">
        <v>22</v>
      </c>
      <c r="D12" s="15"/>
      <c r="E12" s="15"/>
      <c r="F12" s="15"/>
      <c r="G12" s="16"/>
      <c r="H12" s="17" t="s">
        <v>2</v>
      </c>
      <c r="I12" s="5">
        <v>50</v>
      </c>
      <c r="J12" s="6">
        <v>57</v>
      </c>
      <c r="K12" s="6">
        <v>17.5</v>
      </c>
      <c r="L12" s="6">
        <v>36.5</v>
      </c>
      <c r="M12" s="6">
        <v>43.5</v>
      </c>
      <c r="N12" s="6">
        <v>36</v>
      </c>
      <c r="O12" s="6">
        <v>32.5</v>
      </c>
      <c r="P12" s="6">
        <v>11</v>
      </c>
      <c r="Q12" s="30">
        <f>AVERAGE(J12:P12)</f>
        <v>33.428571428571431</v>
      </c>
    </row>
    <row r="13" spans="2:17">
      <c r="B13" s="17"/>
      <c r="C13" s="14"/>
      <c r="D13" s="15"/>
      <c r="E13" s="15"/>
      <c r="F13" s="15"/>
      <c r="G13" s="16"/>
      <c r="H13" s="17"/>
      <c r="I13" s="17"/>
      <c r="J13" s="19"/>
      <c r="K13" s="19"/>
      <c r="L13" s="19"/>
      <c r="M13" s="19"/>
      <c r="N13" s="19"/>
      <c r="O13" s="19"/>
      <c r="P13" s="19"/>
      <c r="Q13" s="19"/>
    </row>
    <row r="14" spans="2:17">
      <c r="B14" s="18"/>
      <c r="C14" s="181" t="s">
        <v>23</v>
      </c>
      <c r="D14" s="181"/>
      <c r="E14" s="181"/>
      <c r="F14" s="181"/>
      <c r="G14" s="181"/>
      <c r="H14" s="181"/>
      <c r="I14" s="181"/>
      <c r="J14" s="181"/>
      <c r="K14" s="181"/>
      <c r="L14" s="181"/>
      <c r="M14" s="181"/>
      <c r="N14" s="181"/>
      <c r="O14" s="181"/>
      <c r="P14" s="181"/>
      <c r="Q14" s="182"/>
    </row>
    <row r="15" spans="2:17">
      <c r="B15" s="17">
        <v>1</v>
      </c>
      <c r="C15" s="14" t="s">
        <v>24</v>
      </c>
      <c r="D15" s="15"/>
      <c r="E15" s="15"/>
      <c r="F15" s="15"/>
      <c r="G15" s="16"/>
      <c r="H15" s="17" t="s">
        <v>25</v>
      </c>
      <c r="I15" s="4" t="s">
        <v>26</v>
      </c>
      <c r="J15" s="19">
        <v>6.1449999999999996</v>
      </c>
      <c r="K15" s="19">
        <v>6.24</v>
      </c>
      <c r="L15" s="19">
        <v>6.66</v>
      </c>
      <c r="M15" s="19">
        <v>6.4749999999999996</v>
      </c>
      <c r="N15" s="19">
        <v>6.13</v>
      </c>
      <c r="O15" s="19">
        <v>5.8949999999999996</v>
      </c>
      <c r="P15" s="19">
        <v>5.26</v>
      </c>
      <c r="Q15" s="30">
        <f>AVERAGE(J15:P15)</f>
        <v>6.1150000000000002</v>
      </c>
    </row>
    <row r="16" spans="2:17">
      <c r="B16" s="17">
        <v>2</v>
      </c>
      <c r="C16" s="14" t="s">
        <v>27</v>
      </c>
      <c r="D16" s="15"/>
      <c r="E16" s="15"/>
      <c r="F16" s="15"/>
      <c r="G16" s="16"/>
      <c r="H16" s="17" t="s">
        <v>2</v>
      </c>
      <c r="I16" s="20" t="s">
        <v>25</v>
      </c>
      <c r="J16" s="8">
        <v>0.60950000000000004</v>
      </c>
      <c r="K16" s="8">
        <v>1.0149999999999999</v>
      </c>
      <c r="L16" s="8">
        <v>0.5</v>
      </c>
      <c r="M16" s="8">
        <v>1.4855</v>
      </c>
      <c r="N16" s="8">
        <v>2.0105</v>
      </c>
      <c r="O16" s="8">
        <v>0.622</v>
      </c>
      <c r="P16" s="8">
        <v>0.64700000000000002</v>
      </c>
      <c r="Q16" s="30">
        <f t="shared" ref="Q16:Q39" si="0">AVERAGE(J16:P16)</f>
        <v>0.98421428571428571</v>
      </c>
    </row>
    <row r="17" spans="2:17">
      <c r="B17" s="17">
        <v>3</v>
      </c>
      <c r="C17" s="14" t="s">
        <v>28</v>
      </c>
      <c r="D17" s="15"/>
      <c r="E17" s="15"/>
      <c r="F17" s="15"/>
      <c r="G17" s="16"/>
      <c r="H17" s="17" t="s">
        <v>2</v>
      </c>
      <c r="I17" s="20" t="s">
        <v>25</v>
      </c>
      <c r="J17" s="9">
        <v>0.9375</v>
      </c>
      <c r="K17" s="9">
        <v>0.53149999999999997</v>
      </c>
      <c r="L17" s="9">
        <v>0.44</v>
      </c>
      <c r="M17" s="9">
        <v>3.0000000000000001E-3</v>
      </c>
      <c r="N17" s="9">
        <v>0.1</v>
      </c>
      <c r="O17" s="9">
        <v>0.65149999999999997</v>
      </c>
      <c r="P17" s="9">
        <v>2.2065000000000001</v>
      </c>
      <c r="Q17" s="30">
        <f t="shared" si="0"/>
        <v>0.69571428571428562</v>
      </c>
    </row>
    <row r="18" spans="2:17">
      <c r="B18" s="17">
        <v>4</v>
      </c>
      <c r="C18" s="14" t="s">
        <v>29</v>
      </c>
      <c r="D18" s="15"/>
      <c r="E18" s="15"/>
      <c r="F18" s="15"/>
      <c r="G18" s="16"/>
      <c r="H18" s="17" t="s">
        <v>2</v>
      </c>
      <c r="I18" s="6">
        <v>1.5</v>
      </c>
      <c r="J18" s="9">
        <v>2.9499999999999998E-2</v>
      </c>
      <c r="K18" s="9">
        <v>7.9500000000000001E-2</v>
      </c>
      <c r="L18" s="9">
        <v>17.911000000000001</v>
      </c>
      <c r="M18" s="9">
        <v>9.5000000000000001E-2</v>
      </c>
      <c r="N18" s="9">
        <v>0.14199999999999999</v>
      </c>
      <c r="O18" s="9">
        <v>0.28050000000000003</v>
      </c>
      <c r="P18" s="9">
        <v>0.36299999999999999</v>
      </c>
      <c r="Q18" s="30">
        <f t="shared" si="0"/>
        <v>2.7000714285714289</v>
      </c>
    </row>
    <row r="19" spans="2:17">
      <c r="B19" s="17">
        <v>5</v>
      </c>
      <c r="C19" s="14" t="s">
        <v>30</v>
      </c>
      <c r="D19" s="15"/>
      <c r="E19" s="15"/>
      <c r="F19" s="15"/>
      <c r="G19" s="16"/>
      <c r="H19" s="17" t="s">
        <v>2</v>
      </c>
      <c r="I19" s="7">
        <v>0.01</v>
      </c>
      <c r="J19" s="8">
        <v>2E-3</v>
      </c>
      <c r="K19" s="8">
        <v>2E-3</v>
      </c>
      <c r="L19" s="8">
        <v>2E-3</v>
      </c>
      <c r="M19" s="8">
        <v>2E-3</v>
      </c>
      <c r="N19" s="8">
        <v>2E-3</v>
      </c>
      <c r="O19" s="8">
        <v>2E-3</v>
      </c>
      <c r="P19" s="8">
        <v>1.1000000000000001E-3</v>
      </c>
      <c r="Q19" s="30">
        <f t="shared" si="0"/>
        <v>1.8714285714285714E-3</v>
      </c>
    </row>
    <row r="20" spans="2:17" ht="15.4">
      <c r="B20" s="17">
        <v>6</v>
      </c>
      <c r="C20" s="14" t="s">
        <v>31</v>
      </c>
      <c r="D20" s="15"/>
      <c r="E20" s="15"/>
      <c r="F20" s="15"/>
      <c r="G20" s="16"/>
      <c r="H20" s="17" t="s">
        <v>2</v>
      </c>
      <c r="I20" s="5">
        <v>600</v>
      </c>
      <c r="J20" s="7">
        <v>1.8505</v>
      </c>
      <c r="K20" s="7">
        <v>5.4184999999999999</v>
      </c>
      <c r="L20" s="7">
        <v>30.37</v>
      </c>
      <c r="M20" s="7">
        <v>9.7494999999999994</v>
      </c>
      <c r="N20" s="7">
        <v>9.0935000000000006</v>
      </c>
      <c r="O20" s="7">
        <v>8.8055000000000003</v>
      </c>
      <c r="P20" s="7">
        <v>8.0000000000000002E-3</v>
      </c>
      <c r="Q20" s="30">
        <f t="shared" si="0"/>
        <v>9.3279285714285702</v>
      </c>
    </row>
    <row r="21" spans="2:17">
      <c r="B21" s="17">
        <v>7</v>
      </c>
      <c r="C21" s="14" t="s">
        <v>32</v>
      </c>
      <c r="D21" s="15"/>
      <c r="E21" s="15"/>
      <c r="F21" s="15"/>
      <c r="G21" s="16"/>
      <c r="H21" s="17" t="s">
        <v>2</v>
      </c>
      <c r="I21" s="7">
        <v>0.03</v>
      </c>
      <c r="J21" s="6">
        <v>8.0000000000000002E-3</v>
      </c>
      <c r="K21" s="6">
        <v>4.1500000000000002E-2</v>
      </c>
      <c r="L21" s="6">
        <v>2.6499999999999999E-2</v>
      </c>
      <c r="M21" s="6">
        <v>3.6499999999999998E-2</v>
      </c>
      <c r="N21" s="6">
        <v>8.0000000000000002E-3</v>
      </c>
      <c r="O21" s="6">
        <v>8.0000000000000002E-3</v>
      </c>
      <c r="P21" s="6">
        <v>0.90749999999999997</v>
      </c>
      <c r="Q21" s="30">
        <f t="shared" si="0"/>
        <v>0.14799999999999999</v>
      </c>
    </row>
    <row r="22" spans="2:17">
      <c r="B22" s="17">
        <v>8</v>
      </c>
      <c r="C22" s="14" t="s">
        <v>33</v>
      </c>
      <c r="D22" s="15"/>
      <c r="E22" s="15"/>
      <c r="F22" s="15"/>
      <c r="G22" s="16"/>
      <c r="H22" s="17" t="s">
        <v>2</v>
      </c>
      <c r="I22" s="7">
        <v>0.05</v>
      </c>
      <c r="J22" s="8">
        <v>2.0000000000000001E-4</v>
      </c>
      <c r="K22" s="8">
        <v>2.0000000000000001E-4</v>
      </c>
      <c r="L22" s="8">
        <v>2.0000000000000001E-4</v>
      </c>
      <c r="M22" s="8">
        <v>2.0000000000000001E-4</v>
      </c>
      <c r="N22" s="8">
        <v>2.0000000000000001E-4</v>
      </c>
      <c r="O22" s="8">
        <v>2.0000000000000001E-4</v>
      </c>
      <c r="P22" s="8">
        <v>1E-4</v>
      </c>
      <c r="Q22" s="30">
        <f t="shared" si="0"/>
        <v>1.8571428571428574E-4</v>
      </c>
    </row>
    <row r="23" spans="2:17">
      <c r="B23" s="17">
        <v>9</v>
      </c>
      <c r="C23" s="14" t="s">
        <v>34</v>
      </c>
      <c r="D23" s="15"/>
      <c r="E23" s="15"/>
      <c r="F23" s="15"/>
      <c r="G23" s="16"/>
      <c r="H23" s="17" t="s">
        <v>2</v>
      </c>
      <c r="I23" s="20" t="s">
        <v>25</v>
      </c>
      <c r="J23" s="8">
        <v>0.81850000000000001</v>
      </c>
      <c r="K23" s="8">
        <v>1.1995</v>
      </c>
      <c r="L23" s="8">
        <v>1.4564999999999999</v>
      </c>
      <c r="M23" s="8">
        <v>1.5854999999999999</v>
      </c>
      <c r="N23" s="8">
        <v>2.1295000000000002</v>
      </c>
      <c r="O23" s="8">
        <v>2.4504999999999999</v>
      </c>
      <c r="P23" s="8">
        <v>2.0535000000000001</v>
      </c>
      <c r="Q23" s="30">
        <f t="shared" si="0"/>
        <v>1.6705000000000001</v>
      </c>
    </row>
    <row r="24" spans="2:17" ht="15.75">
      <c r="B24" s="17">
        <v>10</v>
      </c>
      <c r="C24" s="14" t="s">
        <v>35</v>
      </c>
      <c r="D24" s="15"/>
      <c r="E24" s="15"/>
      <c r="F24" s="15"/>
      <c r="G24" s="16"/>
      <c r="H24" s="17" t="s">
        <v>2</v>
      </c>
      <c r="I24" s="5">
        <v>10</v>
      </c>
      <c r="J24" s="9">
        <v>0.443</v>
      </c>
      <c r="K24" s="9">
        <v>0.63449999999999995</v>
      </c>
      <c r="L24" s="9">
        <v>0.27450000000000002</v>
      </c>
      <c r="M24" s="9">
        <v>0.13650000000000001</v>
      </c>
      <c r="N24" s="9">
        <v>0.23499999999999999</v>
      </c>
      <c r="O24" s="9">
        <v>0.13650000000000001</v>
      </c>
      <c r="P24" s="9">
        <v>0.28649999999999998</v>
      </c>
      <c r="Q24" s="30">
        <f t="shared" si="0"/>
        <v>0.30664285714285716</v>
      </c>
    </row>
    <row r="25" spans="2:17" ht="15.75">
      <c r="B25" s="17">
        <v>11</v>
      </c>
      <c r="C25" s="14" t="s">
        <v>36</v>
      </c>
      <c r="D25" s="15"/>
      <c r="E25" s="15"/>
      <c r="F25" s="15"/>
      <c r="G25" s="16"/>
      <c r="H25" s="17" t="s">
        <v>2</v>
      </c>
      <c r="I25" s="7">
        <v>0.06</v>
      </c>
      <c r="J25" s="9">
        <v>0.1305</v>
      </c>
      <c r="K25" s="9">
        <v>1.4E-2</v>
      </c>
      <c r="L25" s="9">
        <v>1.6500000000000001E-2</v>
      </c>
      <c r="M25" s="9">
        <v>1.2999999999999999E-2</v>
      </c>
      <c r="N25" s="9">
        <v>1.0500000000000001E-2</v>
      </c>
      <c r="O25" s="9">
        <v>1.2999999999999999E-2</v>
      </c>
      <c r="P25" s="9">
        <v>7.6499999999999999E-2</v>
      </c>
      <c r="Q25" s="30">
        <f t="shared" si="0"/>
        <v>3.9142857142857153E-2</v>
      </c>
    </row>
    <row r="26" spans="2:17">
      <c r="B26" s="17">
        <v>12</v>
      </c>
      <c r="C26" s="14" t="s">
        <v>37</v>
      </c>
      <c r="D26" s="15"/>
      <c r="E26" s="15"/>
      <c r="F26" s="15"/>
      <c r="G26" s="16"/>
      <c r="H26" s="17" t="s">
        <v>2</v>
      </c>
      <c r="I26" s="5" t="s">
        <v>38</v>
      </c>
      <c r="J26" s="7">
        <v>3.52</v>
      </c>
      <c r="K26" s="7">
        <v>4.38</v>
      </c>
      <c r="L26" s="7">
        <v>3.7</v>
      </c>
      <c r="M26" s="7">
        <v>4.9800000000000004</v>
      </c>
      <c r="N26" s="7">
        <v>2.1280000000000001</v>
      </c>
      <c r="O26" s="7">
        <v>4.37</v>
      </c>
      <c r="P26" s="7">
        <v>4.67</v>
      </c>
      <c r="Q26" s="30">
        <f t="shared" si="0"/>
        <v>3.9640000000000009</v>
      </c>
    </row>
    <row r="27" spans="2:17">
      <c r="B27" s="17">
        <v>13</v>
      </c>
      <c r="C27" s="14" t="s">
        <v>39</v>
      </c>
      <c r="D27" s="15"/>
      <c r="E27" s="15"/>
      <c r="F27" s="15"/>
      <c r="G27" s="16"/>
      <c r="H27" s="17" t="s">
        <v>2</v>
      </c>
      <c r="I27" s="5">
        <v>3</v>
      </c>
      <c r="J27" s="7">
        <v>1.64</v>
      </c>
      <c r="K27" s="7">
        <v>1.76</v>
      </c>
      <c r="L27" s="7">
        <v>1.84</v>
      </c>
      <c r="M27" s="7">
        <v>2.88</v>
      </c>
      <c r="N27" s="7">
        <v>2.4</v>
      </c>
      <c r="O27" s="7">
        <v>2.04</v>
      </c>
      <c r="P27" s="7">
        <v>2.04</v>
      </c>
      <c r="Q27" s="30">
        <f t="shared" si="0"/>
        <v>2.0857142857142859</v>
      </c>
    </row>
    <row r="28" spans="2:17">
      <c r="B28" s="17">
        <v>14</v>
      </c>
      <c r="C28" s="14" t="s">
        <v>40</v>
      </c>
      <c r="D28" s="15"/>
      <c r="E28" s="15"/>
      <c r="F28" s="15"/>
      <c r="G28" s="16"/>
      <c r="H28" s="17" t="s">
        <v>2</v>
      </c>
      <c r="I28" s="5">
        <v>25</v>
      </c>
      <c r="J28" s="7">
        <v>13.78</v>
      </c>
      <c r="K28" s="7">
        <v>6.7465000000000002</v>
      </c>
      <c r="L28" s="7">
        <v>15.2525</v>
      </c>
      <c r="M28" s="7">
        <v>14.842000000000001</v>
      </c>
      <c r="N28" s="7">
        <v>17.724</v>
      </c>
      <c r="O28" s="7">
        <v>18.089500000000001</v>
      </c>
      <c r="P28" s="7">
        <v>15.201499999999999</v>
      </c>
      <c r="Q28" s="30">
        <f t="shared" si="0"/>
        <v>14.519428571428572</v>
      </c>
    </row>
    <row r="29" spans="2:17">
      <c r="B29" s="17">
        <v>15</v>
      </c>
      <c r="C29" s="14" t="s">
        <v>41</v>
      </c>
      <c r="D29" s="15"/>
      <c r="E29" s="15"/>
      <c r="F29" s="15"/>
      <c r="G29" s="16"/>
      <c r="H29" s="17" t="s">
        <v>2</v>
      </c>
      <c r="I29" s="7">
        <v>0.05</v>
      </c>
      <c r="J29" s="9">
        <v>3.0000000000000001E-3</v>
      </c>
      <c r="K29" s="9">
        <v>3.0000000000000001E-3</v>
      </c>
      <c r="L29" s="9">
        <v>1.6500000000000001E-2</v>
      </c>
      <c r="M29" s="9">
        <v>3.0000000000000001E-3</v>
      </c>
      <c r="N29" s="9">
        <v>3.0000000000000001E-3</v>
      </c>
      <c r="O29" s="9">
        <v>7.9000000000000001E-2</v>
      </c>
      <c r="P29" s="9">
        <v>2.4500000000000001E-2</v>
      </c>
      <c r="Q29" s="30">
        <f t="shared" si="0"/>
        <v>1.8857142857142857E-2</v>
      </c>
    </row>
    <row r="30" spans="2:17">
      <c r="B30" s="17">
        <v>16</v>
      </c>
      <c r="C30" s="14" t="s">
        <v>42</v>
      </c>
      <c r="D30" s="15"/>
      <c r="E30" s="15"/>
      <c r="F30" s="15"/>
      <c r="G30" s="16"/>
      <c r="H30" s="17" t="s">
        <v>2</v>
      </c>
      <c r="I30" s="7">
        <v>0.02</v>
      </c>
      <c r="J30" s="9">
        <v>1E-3</v>
      </c>
      <c r="K30" s="9">
        <v>1E-3</v>
      </c>
      <c r="L30" s="9">
        <v>1E-3</v>
      </c>
      <c r="M30" s="9">
        <v>1E-3</v>
      </c>
      <c r="N30" s="9">
        <v>1E-3</v>
      </c>
      <c r="O30" s="9">
        <v>1E-3</v>
      </c>
      <c r="P30" s="9">
        <v>1E-3</v>
      </c>
      <c r="Q30" s="30">
        <f t="shared" si="0"/>
        <v>1E-3</v>
      </c>
    </row>
    <row r="31" spans="2:17" ht="15.75">
      <c r="B31" s="17">
        <v>17</v>
      </c>
      <c r="C31" s="14" t="s">
        <v>43</v>
      </c>
      <c r="D31" s="15"/>
      <c r="E31" s="15"/>
      <c r="F31" s="15"/>
      <c r="G31" s="16"/>
      <c r="H31" s="17" t="s">
        <v>2</v>
      </c>
      <c r="I31" s="20" t="s">
        <v>25</v>
      </c>
      <c r="J31" s="9">
        <v>62.084000000000003</v>
      </c>
      <c r="K31" s="9">
        <v>57.889499999999998</v>
      </c>
      <c r="L31" s="9">
        <v>67.423000000000002</v>
      </c>
      <c r="M31" s="9">
        <v>129.49350000000001</v>
      </c>
      <c r="N31" s="9">
        <v>92.128500000000003</v>
      </c>
      <c r="O31" s="9">
        <v>108.5985</v>
      </c>
      <c r="P31" s="9">
        <v>112.8695</v>
      </c>
      <c r="Q31" s="30">
        <f t="shared" si="0"/>
        <v>90.069499999999991</v>
      </c>
    </row>
    <row r="32" spans="2:17" ht="15.75">
      <c r="B32" s="17">
        <v>18</v>
      </c>
      <c r="C32" s="14" t="s">
        <v>44</v>
      </c>
      <c r="D32" s="15"/>
      <c r="E32" s="15"/>
      <c r="F32" s="15"/>
      <c r="G32" s="16"/>
      <c r="H32" s="17" t="s">
        <v>2</v>
      </c>
      <c r="I32" s="9">
        <v>2E-3</v>
      </c>
      <c r="J32" s="8">
        <v>5.2999999999999999E-2</v>
      </c>
      <c r="K32" s="8">
        <v>2E-3</v>
      </c>
      <c r="L32" s="8">
        <v>7.4999999999999997E-3</v>
      </c>
      <c r="M32" s="8">
        <v>0</v>
      </c>
      <c r="N32" s="8">
        <v>7.5999999999999998E-2</v>
      </c>
      <c r="O32" s="8">
        <v>4.3499999999999997E-2</v>
      </c>
      <c r="P32" s="8">
        <v>6.3E-2</v>
      </c>
      <c r="Q32" s="30">
        <f t="shared" si="0"/>
        <v>3.4999999999999996E-2</v>
      </c>
    </row>
    <row r="33" spans="2:17">
      <c r="B33" s="17">
        <v>19</v>
      </c>
      <c r="C33" s="14" t="s">
        <v>45</v>
      </c>
      <c r="D33" s="15"/>
      <c r="E33" s="15"/>
      <c r="F33" s="15"/>
      <c r="G33" s="16"/>
      <c r="H33" s="17" t="s">
        <v>2</v>
      </c>
      <c r="I33" s="7">
        <v>0.02</v>
      </c>
      <c r="J33" s="8">
        <v>2E-3</v>
      </c>
      <c r="K33" s="8">
        <v>2E-3</v>
      </c>
      <c r="L33" s="8">
        <v>2E-3</v>
      </c>
      <c r="M33" s="8">
        <v>2E-3</v>
      </c>
      <c r="N33" s="8">
        <v>2E-3</v>
      </c>
      <c r="O33" s="8">
        <v>2E-3</v>
      </c>
      <c r="P33" s="8">
        <v>2E-3</v>
      </c>
      <c r="Q33" s="30">
        <f t="shared" si="0"/>
        <v>2E-3</v>
      </c>
    </row>
    <row r="34" spans="2:17">
      <c r="B34" s="17">
        <v>20</v>
      </c>
      <c r="C34" s="14" t="s">
        <v>46</v>
      </c>
      <c r="D34" s="15"/>
      <c r="E34" s="15"/>
      <c r="F34" s="15"/>
      <c r="G34" s="16"/>
      <c r="H34" s="17" t="s">
        <v>2</v>
      </c>
      <c r="I34" s="7">
        <v>0.03</v>
      </c>
      <c r="J34" s="8">
        <v>3.0000000000000001E-3</v>
      </c>
      <c r="K34" s="8">
        <v>3.0000000000000001E-3</v>
      </c>
      <c r="L34" s="8">
        <v>3.0000000000000001E-3</v>
      </c>
      <c r="M34" s="8">
        <v>3.0000000000000001E-3</v>
      </c>
      <c r="N34" s="8">
        <v>3.0000000000000001E-3</v>
      </c>
      <c r="O34" s="8">
        <v>3.0000000000000001E-3</v>
      </c>
      <c r="P34" s="8">
        <v>3.0000000000000001E-3</v>
      </c>
      <c r="Q34" s="30">
        <f t="shared" si="0"/>
        <v>2.9999999999999996E-3</v>
      </c>
    </row>
    <row r="35" spans="2:17" ht="15.75">
      <c r="B35" s="17">
        <v>21</v>
      </c>
      <c r="C35" s="14" t="s">
        <v>47</v>
      </c>
      <c r="D35" s="15"/>
      <c r="E35" s="15"/>
      <c r="F35" s="15"/>
      <c r="G35" s="16"/>
      <c r="H35" s="17" t="s">
        <v>2</v>
      </c>
      <c r="I35" s="6">
        <v>0.2</v>
      </c>
      <c r="J35" s="8">
        <v>2.5499999999999998E-2</v>
      </c>
      <c r="K35" s="8">
        <v>0.17199999999999999</v>
      </c>
      <c r="L35" s="8">
        <v>0.19850000000000001</v>
      </c>
      <c r="M35" s="8">
        <v>0.183</v>
      </c>
      <c r="N35" s="8">
        <v>7.6499999999999999E-2</v>
      </c>
      <c r="O35" s="8">
        <v>8.5500000000000007E-2</v>
      </c>
      <c r="P35" s="8">
        <v>2.0500000000000001E-2</v>
      </c>
      <c r="Q35" s="30">
        <f t="shared" si="0"/>
        <v>0.10878571428571428</v>
      </c>
    </row>
    <row r="36" spans="2:17">
      <c r="B36" s="17">
        <v>22</v>
      </c>
      <c r="C36" s="14" t="s">
        <v>48</v>
      </c>
      <c r="D36" s="15"/>
      <c r="E36" s="15"/>
      <c r="F36" s="15"/>
      <c r="G36" s="16"/>
      <c r="H36" s="17" t="s">
        <v>2</v>
      </c>
      <c r="I36" s="9">
        <v>1E-3</v>
      </c>
      <c r="J36" s="8">
        <v>5.0000000000000001E-3</v>
      </c>
      <c r="K36" s="8">
        <v>3.0000000000000001E-3</v>
      </c>
      <c r="L36" s="8">
        <v>3.0000000000000001E-3</v>
      </c>
      <c r="M36" s="8">
        <v>4.4999999999999997E-3</v>
      </c>
      <c r="N36" s="8">
        <v>4.0000000000000001E-3</v>
      </c>
      <c r="O36" s="8">
        <v>7.4999999999999997E-3</v>
      </c>
      <c r="P36" s="8">
        <v>1.2999999999999999E-2</v>
      </c>
      <c r="Q36" s="30">
        <f t="shared" si="0"/>
        <v>5.7142857142857143E-3</v>
      </c>
    </row>
    <row r="37" spans="2:17">
      <c r="B37" s="17">
        <v>23</v>
      </c>
      <c r="C37" s="14" t="s">
        <v>49</v>
      </c>
      <c r="D37" s="15"/>
      <c r="E37" s="15"/>
      <c r="F37" s="15"/>
      <c r="G37" s="16"/>
      <c r="H37" s="17" t="s">
        <v>2</v>
      </c>
      <c r="I37" s="5">
        <v>1</v>
      </c>
      <c r="J37" s="9">
        <v>8.7499999999999994E-2</v>
      </c>
      <c r="K37" s="9">
        <v>2.9000000000000001E-2</v>
      </c>
      <c r="L37" s="9">
        <v>1.9E-2</v>
      </c>
      <c r="M37" s="9">
        <v>1.7999999999999999E-2</v>
      </c>
      <c r="N37" s="9">
        <v>2.9000000000000001E-2</v>
      </c>
      <c r="O37" s="9">
        <v>1.9E-2</v>
      </c>
      <c r="P37" s="9">
        <v>2.8000000000000001E-2</v>
      </c>
      <c r="Q37" s="30">
        <f t="shared" si="0"/>
        <v>3.2785714285714279E-2</v>
      </c>
    </row>
    <row r="38" spans="2:17">
      <c r="B38" s="17">
        <v>24</v>
      </c>
      <c r="C38" s="14" t="s">
        <v>50</v>
      </c>
      <c r="D38" s="15"/>
      <c r="E38" s="15"/>
      <c r="F38" s="15"/>
      <c r="G38" s="16"/>
      <c r="H38" s="17" t="s">
        <v>2</v>
      </c>
      <c r="I38" s="6">
        <v>0.2</v>
      </c>
      <c r="J38" s="9">
        <v>8.9999999999999993E-3</v>
      </c>
      <c r="K38" s="9">
        <v>8.0000000000000002E-3</v>
      </c>
      <c r="L38" s="9">
        <v>1.15E-2</v>
      </c>
      <c r="M38" s="9">
        <v>9.4999999999999998E-3</v>
      </c>
      <c r="N38" s="9">
        <v>8.0000000000000002E-3</v>
      </c>
      <c r="O38" s="9">
        <v>8.0000000000000002E-3</v>
      </c>
      <c r="P38" s="9">
        <v>1.55E-2</v>
      </c>
      <c r="Q38" s="30">
        <f t="shared" si="0"/>
        <v>9.928571428571429E-3</v>
      </c>
    </row>
    <row r="39" spans="2:17">
      <c r="B39" s="17">
        <v>25</v>
      </c>
      <c r="C39" s="14" t="s">
        <v>51</v>
      </c>
      <c r="D39" s="15"/>
      <c r="E39" s="15"/>
      <c r="F39" s="15"/>
      <c r="G39" s="16"/>
      <c r="H39" s="17" t="s">
        <v>2</v>
      </c>
      <c r="I39" s="7">
        <v>0.05</v>
      </c>
      <c r="J39" s="8">
        <v>1E-3</v>
      </c>
      <c r="K39" s="8">
        <v>1E-3</v>
      </c>
      <c r="L39" s="8">
        <v>1E-3</v>
      </c>
      <c r="M39" s="8">
        <v>1E-3</v>
      </c>
      <c r="N39" s="8">
        <v>1E-3</v>
      </c>
      <c r="O39" s="8">
        <v>1E-3</v>
      </c>
      <c r="P39" s="8">
        <v>1E-3</v>
      </c>
      <c r="Q39" s="30">
        <f t="shared" si="0"/>
        <v>1E-3</v>
      </c>
    </row>
    <row r="40" spans="2:17">
      <c r="B40" s="17">
        <v>26</v>
      </c>
      <c r="C40" s="14" t="s">
        <v>52</v>
      </c>
      <c r="D40" s="15"/>
      <c r="E40" s="15"/>
      <c r="F40" s="15"/>
      <c r="G40" s="16"/>
      <c r="H40" s="17" t="s">
        <v>53</v>
      </c>
      <c r="I40" s="17" t="s">
        <v>54</v>
      </c>
      <c r="J40" s="12" t="s">
        <v>25</v>
      </c>
      <c r="K40" s="12" t="s">
        <v>25</v>
      </c>
      <c r="L40" s="12" t="s">
        <v>25</v>
      </c>
      <c r="M40" s="12" t="s">
        <v>25</v>
      </c>
      <c r="N40" s="12" t="s">
        <v>25</v>
      </c>
      <c r="O40" s="12" t="s">
        <v>25</v>
      </c>
      <c r="P40" s="12" t="s">
        <v>25</v>
      </c>
      <c r="Q40" s="30" t="s">
        <v>25</v>
      </c>
    </row>
    <row r="41" spans="2:17">
      <c r="B41" s="17">
        <v>27</v>
      </c>
      <c r="C41" s="14" t="s">
        <v>55</v>
      </c>
      <c r="D41" s="15"/>
      <c r="E41" s="15"/>
      <c r="F41" s="15"/>
      <c r="G41" s="16"/>
      <c r="H41" s="21" t="s">
        <v>56</v>
      </c>
      <c r="I41" s="17" t="s">
        <v>54</v>
      </c>
      <c r="J41" s="33" t="s">
        <v>25</v>
      </c>
      <c r="K41" s="33" t="s">
        <v>25</v>
      </c>
      <c r="L41" s="33" t="s">
        <v>25</v>
      </c>
      <c r="M41" s="33" t="s">
        <v>25</v>
      </c>
      <c r="N41" s="33" t="s">
        <v>25</v>
      </c>
      <c r="O41" s="33" t="s">
        <v>25</v>
      </c>
      <c r="P41" s="33" t="s">
        <v>25</v>
      </c>
      <c r="Q41" s="30" t="s">
        <v>25</v>
      </c>
    </row>
    <row r="42" spans="2:17">
      <c r="B42" s="17"/>
      <c r="C42" s="14"/>
      <c r="D42" s="15"/>
      <c r="E42" s="15"/>
      <c r="F42" s="15"/>
      <c r="G42" s="16"/>
      <c r="H42" s="21"/>
      <c r="I42" s="17"/>
      <c r="J42" s="9"/>
      <c r="K42" s="9"/>
      <c r="L42" s="9"/>
      <c r="M42" s="9"/>
      <c r="N42" s="9"/>
      <c r="O42" s="9"/>
      <c r="P42" s="9"/>
      <c r="Q42" s="9"/>
    </row>
    <row r="43" spans="2:17">
      <c r="B43" s="18"/>
      <c r="C43" s="181" t="s">
        <v>57</v>
      </c>
      <c r="D43" s="181"/>
      <c r="E43" s="181"/>
      <c r="F43" s="181"/>
      <c r="G43" s="181"/>
      <c r="H43" s="181"/>
      <c r="I43" s="181"/>
      <c r="J43" s="181"/>
      <c r="K43" s="181"/>
      <c r="L43" s="181"/>
      <c r="M43" s="181"/>
      <c r="N43" s="181"/>
      <c r="O43" s="181"/>
      <c r="P43" s="181"/>
      <c r="Q43" s="182"/>
    </row>
    <row r="44" spans="2:17">
      <c r="B44" s="17">
        <v>1</v>
      </c>
      <c r="C44" s="14" t="s">
        <v>58</v>
      </c>
      <c r="D44" s="15"/>
      <c r="E44" s="15"/>
      <c r="F44" s="15"/>
      <c r="G44" s="16"/>
      <c r="H44" s="17" t="s">
        <v>59</v>
      </c>
      <c r="I44" s="5">
        <v>10000</v>
      </c>
      <c r="J44" s="10">
        <v>1175000</v>
      </c>
      <c r="K44" s="10">
        <v>677000</v>
      </c>
      <c r="L44" s="11">
        <v>720000</v>
      </c>
      <c r="M44" s="10"/>
      <c r="N44" s="11">
        <v>285000</v>
      </c>
      <c r="O44" s="11">
        <v>232500</v>
      </c>
      <c r="P44" s="11">
        <v>2600</v>
      </c>
      <c r="Q44" s="31">
        <f>AVERAGE(J44:P44)</f>
        <v>515350</v>
      </c>
    </row>
    <row r="45" spans="2:17">
      <c r="B45" s="17">
        <v>2</v>
      </c>
      <c r="C45" s="14" t="s">
        <v>60</v>
      </c>
      <c r="D45" s="15"/>
      <c r="E45" s="15"/>
      <c r="F45" s="15"/>
      <c r="G45" s="16"/>
      <c r="H45" s="17" t="s">
        <v>59</v>
      </c>
      <c r="I45" s="5">
        <v>1000</v>
      </c>
      <c r="J45" s="10">
        <v>160000</v>
      </c>
      <c r="K45" s="10">
        <v>72000</v>
      </c>
      <c r="L45" s="11">
        <v>608500</v>
      </c>
      <c r="M45" s="10"/>
      <c r="N45" s="11">
        <v>265000</v>
      </c>
      <c r="O45" s="11">
        <v>97500</v>
      </c>
      <c r="P45" s="11">
        <v>2200</v>
      </c>
      <c r="Q45" s="31">
        <f>AVERAGE(J45:P45)</f>
        <v>200866.66666666666</v>
      </c>
    </row>
    <row r="46" spans="2:17">
      <c r="B46" s="183"/>
      <c r="C46" s="183"/>
      <c r="D46" s="183"/>
      <c r="E46" s="183"/>
      <c r="F46" s="183"/>
      <c r="G46" s="183"/>
      <c r="H46" s="183"/>
      <c r="I46" s="183"/>
      <c r="J46" s="183"/>
      <c r="K46" s="183"/>
      <c r="L46" s="183"/>
      <c r="M46" s="183"/>
      <c r="N46" s="183"/>
      <c r="O46" s="183"/>
      <c r="P46" s="183"/>
      <c r="Q46" s="183"/>
    </row>
    <row r="47" spans="2:17">
      <c r="B47" s="13"/>
      <c r="C47" s="22" t="s">
        <v>61</v>
      </c>
      <c r="D47" s="23"/>
      <c r="E47" s="23"/>
      <c r="F47" s="23"/>
      <c r="G47" s="24"/>
      <c r="H47" s="25"/>
      <c r="I47" s="14"/>
      <c r="J47" s="17" t="s">
        <v>11</v>
      </c>
      <c r="K47" s="17" t="s">
        <v>11</v>
      </c>
      <c r="L47" s="17" t="s">
        <v>11</v>
      </c>
      <c r="M47" s="17" t="s">
        <v>11</v>
      </c>
      <c r="N47" s="17" t="s">
        <v>11</v>
      </c>
      <c r="O47" s="17" t="s">
        <v>11</v>
      </c>
      <c r="P47" s="17" t="s">
        <v>11</v>
      </c>
      <c r="Q47" s="29" t="s">
        <v>11</v>
      </c>
    </row>
    <row r="48" spans="2:17" ht="28.5" customHeight="1">
      <c r="B48" s="13"/>
      <c r="C48" s="22" t="s">
        <v>109</v>
      </c>
      <c r="D48" s="23"/>
      <c r="E48" s="23"/>
      <c r="F48" s="23"/>
      <c r="G48" s="24"/>
      <c r="H48" s="25"/>
      <c r="I48" s="27"/>
      <c r="J48" s="38" t="s">
        <v>119</v>
      </c>
      <c r="K48" s="38" t="s">
        <v>125</v>
      </c>
      <c r="L48" s="38" t="s">
        <v>121</v>
      </c>
      <c r="M48" s="38" t="s">
        <v>123</v>
      </c>
      <c r="N48" s="38" t="s">
        <v>122</v>
      </c>
      <c r="O48" s="38" t="s">
        <v>120</v>
      </c>
      <c r="P48" s="38" t="s">
        <v>124</v>
      </c>
      <c r="Q48" s="38" t="s">
        <v>125</v>
      </c>
    </row>
  </sheetData>
  <mergeCells count="17">
    <mergeCell ref="C43:Q43"/>
    <mergeCell ref="B46:Q46"/>
    <mergeCell ref="M4:M5"/>
    <mergeCell ref="N4:N5"/>
    <mergeCell ref="O4:O5"/>
    <mergeCell ref="P4:P5"/>
    <mergeCell ref="C9:Q9"/>
    <mergeCell ref="B3:B5"/>
    <mergeCell ref="C3:G5"/>
    <mergeCell ref="H3:H5"/>
    <mergeCell ref="I3:I5"/>
    <mergeCell ref="J3:P3"/>
    <mergeCell ref="Q3:Q5"/>
    <mergeCell ref="J4:J5"/>
    <mergeCell ref="K4:K5"/>
    <mergeCell ref="L4:L5"/>
    <mergeCell ref="C14:Q14"/>
  </mergeCells>
  <pageMargins left="0.7" right="0.7" top="0.75" bottom="0.75" header="0.3" footer="0.3"/>
  <pageSetup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D41F6B-5A90-4A0D-B835-2FD9049032F0}">
  <sheetPr codeName="Sheet2"/>
  <dimension ref="B3:O51"/>
  <sheetViews>
    <sheetView topLeftCell="A23" zoomScaleNormal="100" workbookViewId="0">
      <selection activeCell="H27" sqref="H27"/>
    </sheetView>
  </sheetViews>
  <sheetFormatPr defaultRowHeight="14.25"/>
  <cols>
    <col min="2" max="2" width="4.265625" customWidth="1"/>
    <col min="3" max="3" width="7" customWidth="1"/>
    <col min="4" max="4" width="4.796875" customWidth="1"/>
    <col min="5" max="5" width="4.53125" customWidth="1"/>
    <col min="6" max="6" width="3.33203125" customWidth="1"/>
    <col min="7" max="7" width="0.86328125" customWidth="1"/>
    <col min="8" max="8" width="9" customWidth="1"/>
    <col min="10" max="10" width="11.53125" customWidth="1"/>
    <col min="11" max="11" width="12.1328125" customWidth="1"/>
    <col min="12" max="12" width="11.06640625" customWidth="1"/>
    <col min="13" max="13" width="11.265625" customWidth="1"/>
    <col min="14" max="14" width="10.796875" customWidth="1"/>
    <col min="15" max="15" width="14.265625" customWidth="1"/>
  </cols>
  <sheetData>
    <row r="3" spans="2:15">
      <c r="B3" s="186" t="s">
        <v>7</v>
      </c>
      <c r="C3" s="192" t="s">
        <v>8</v>
      </c>
      <c r="D3" s="197"/>
      <c r="E3" s="197"/>
      <c r="F3" s="197"/>
      <c r="G3" s="198"/>
      <c r="H3" s="186" t="s">
        <v>9</v>
      </c>
      <c r="I3" s="204" t="s">
        <v>10</v>
      </c>
      <c r="J3" s="194" t="s">
        <v>96</v>
      </c>
      <c r="K3" s="195"/>
      <c r="L3" s="195"/>
      <c r="M3" s="195"/>
      <c r="N3" s="196"/>
      <c r="O3" s="186" t="s">
        <v>63</v>
      </c>
    </row>
    <row r="4" spans="2:15">
      <c r="B4" s="187"/>
      <c r="C4" s="199"/>
      <c r="D4" s="200"/>
      <c r="E4" s="200"/>
      <c r="F4" s="200"/>
      <c r="G4" s="201"/>
      <c r="H4" s="187"/>
      <c r="I4" s="205"/>
      <c r="J4" s="186">
        <v>2014</v>
      </c>
      <c r="K4" s="186">
        <v>2015</v>
      </c>
      <c r="L4" s="192">
        <v>2017</v>
      </c>
      <c r="M4" s="186">
        <v>2018</v>
      </c>
      <c r="N4" s="192">
        <v>2019</v>
      </c>
      <c r="O4" s="187"/>
    </row>
    <row r="5" spans="2:15">
      <c r="B5" s="188"/>
      <c r="C5" s="193"/>
      <c r="D5" s="202"/>
      <c r="E5" s="202"/>
      <c r="F5" s="202"/>
      <c r="G5" s="203"/>
      <c r="H5" s="188"/>
      <c r="I5" s="206"/>
      <c r="J5" s="188"/>
      <c r="K5" s="188"/>
      <c r="L5" s="193"/>
      <c r="M5" s="188"/>
      <c r="N5" s="193"/>
      <c r="O5" s="188"/>
    </row>
    <row r="6" spans="2:15">
      <c r="B6" s="39">
        <v>1</v>
      </c>
      <c r="C6" s="40" t="s">
        <v>12</v>
      </c>
      <c r="D6" s="41"/>
      <c r="E6" s="41"/>
      <c r="F6" s="41"/>
      <c r="G6" s="42"/>
      <c r="H6" s="43" t="s">
        <v>25</v>
      </c>
      <c r="I6" s="43" t="s">
        <v>25</v>
      </c>
      <c r="J6" s="39" t="s">
        <v>13</v>
      </c>
      <c r="K6" s="39" t="s">
        <v>13</v>
      </c>
      <c r="L6" s="39" t="s">
        <v>25</v>
      </c>
      <c r="M6" s="39" t="s">
        <v>25</v>
      </c>
      <c r="N6" s="39" t="s">
        <v>25</v>
      </c>
      <c r="O6" s="39"/>
    </row>
    <row r="7" spans="2:15">
      <c r="B7" s="39">
        <v>2</v>
      </c>
      <c r="C7" s="40" t="s">
        <v>14</v>
      </c>
      <c r="D7" s="41"/>
      <c r="E7" s="41"/>
      <c r="F7" s="41"/>
      <c r="G7" s="42"/>
      <c r="H7" s="43" t="s">
        <v>25</v>
      </c>
      <c r="I7" s="43" t="s">
        <v>25</v>
      </c>
      <c r="J7" s="39" t="s">
        <v>15</v>
      </c>
      <c r="K7" s="39" t="s">
        <v>15</v>
      </c>
      <c r="L7" s="39" t="s">
        <v>25</v>
      </c>
      <c r="M7" s="39" t="s">
        <v>25</v>
      </c>
      <c r="N7" s="39" t="s">
        <v>25</v>
      </c>
      <c r="O7" s="39"/>
    </row>
    <row r="8" spans="2:15">
      <c r="B8" s="39"/>
      <c r="C8" s="40"/>
      <c r="D8" s="41"/>
      <c r="E8" s="41"/>
      <c r="F8" s="41"/>
      <c r="G8" s="42"/>
      <c r="H8" s="39"/>
      <c r="I8" s="39"/>
      <c r="J8" s="39"/>
      <c r="K8" s="39"/>
      <c r="L8" s="39"/>
      <c r="M8" s="39"/>
      <c r="N8" s="39"/>
      <c r="O8" s="39"/>
    </row>
    <row r="9" spans="2:15">
      <c r="B9" s="44"/>
      <c r="C9" s="190" t="s">
        <v>17</v>
      </c>
      <c r="D9" s="190"/>
      <c r="E9" s="190"/>
      <c r="F9" s="190"/>
      <c r="G9" s="190"/>
      <c r="H9" s="190"/>
      <c r="I9" s="190"/>
      <c r="J9" s="190"/>
      <c r="K9" s="190"/>
      <c r="L9" s="190"/>
      <c r="M9" s="190"/>
      <c r="N9" s="190"/>
      <c r="O9" s="191"/>
    </row>
    <row r="10" spans="2:15" ht="19.5" customHeight="1">
      <c r="B10" s="39">
        <v>1</v>
      </c>
      <c r="C10" s="40" t="s">
        <v>18</v>
      </c>
      <c r="D10" s="41"/>
      <c r="E10" s="41"/>
      <c r="F10" s="41"/>
      <c r="G10" s="42"/>
      <c r="H10" s="39" t="s">
        <v>127</v>
      </c>
      <c r="I10" s="39" t="s">
        <v>20</v>
      </c>
      <c r="J10" s="45">
        <v>28.318816666666663</v>
      </c>
      <c r="K10" s="45">
        <v>29.863499999999998</v>
      </c>
      <c r="L10" s="45">
        <v>26.016190476190474</v>
      </c>
      <c r="M10" s="45" t="s">
        <v>25</v>
      </c>
      <c r="N10" s="45" t="s">
        <v>25</v>
      </c>
      <c r="O10" s="45"/>
    </row>
    <row r="11" spans="2:15">
      <c r="B11" s="39">
        <v>2</v>
      </c>
      <c r="C11" s="40" t="s">
        <v>21</v>
      </c>
      <c r="D11" s="41"/>
      <c r="E11" s="41"/>
      <c r="F11" s="41"/>
      <c r="G11" s="42"/>
      <c r="H11" s="39" t="s">
        <v>2</v>
      </c>
      <c r="I11" s="46">
        <v>1000</v>
      </c>
      <c r="J11" s="46">
        <v>182.13333333333333</v>
      </c>
      <c r="K11" s="46">
        <v>367.05</v>
      </c>
      <c r="L11" s="46">
        <v>182.09523809523807</v>
      </c>
      <c r="M11" s="46">
        <v>220</v>
      </c>
      <c r="N11" s="46">
        <v>295</v>
      </c>
      <c r="O11" s="46"/>
    </row>
    <row r="12" spans="2:15">
      <c r="B12" s="39">
        <v>3</v>
      </c>
      <c r="C12" s="40" t="s">
        <v>22</v>
      </c>
      <c r="D12" s="41"/>
      <c r="E12" s="41"/>
      <c r="F12" s="41"/>
      <c r="G12" s="42"/>
      <c r="H12" s="39" t="s">
        <v>2</v>
      </c>
      <c r="I12" s="46">
        <v>50</v>
      </c>
      <c r="J12" s="47">
        <v>78.947666666666663</v>
      </c>
      <c r="K12" s="47">
        <v>104</v>
      </c>
      <c r="L12" s="47">
        <v>24.545238095238094</v>
      </c>
      <c r="M12" s="47">
        <v>131.51111111111109</v>
      </c>
      <c r="N12" s="47">
        <v>33.428571428571431</v>
      </c>
      <c r="O12" s="47"/>
    </row>
    <row r="13" spans="2:15">
      <c r="B13" s="39"/>
      <c r="C13" s="40"/>
      <c r="D13" s="41"/>
      <c r="E13" s="41"/>
      <c r="F13" s="41"/>
      <c r="G13" s="42"/>
      <c r="H13" s="39"/>
      <c r="I13" s="39"/>
      <c r="J13" s="45"/>
      <c r="K13" s="45"/>
      <c r="L13" s="45"/>
      <c r="M13" s="45"/>
      <c r="N13" s="45"/>
      <c r="O13" s="45"/>
    </row>
    <row r="14" spans="2:15">
      <c r="B14" s="44"/>
      <c r="C14" s="190" t="s">
        <v>23</v>
      </c>
      <c r="D14" s="190"/>
      <c r="E14" s="190"/>
      <c r="F14" s="190"/>
      <c r="G14" s="190"/>
      <c r="H14" s="190"/>
      <c r="I14" s="190"/>
      <c r="J14" s="190"/>
      <c r="K14" s="190"/>
      <c r="L14" s="190"/>
      <c r="M14" s="190"/>
      <c r="N14" s="190"/>
      <c r="O14" s="191"/>
    </row>
    <row r="15" spans="2:15">
      <c r="B15" s="39">
        <v>1</v>
      </c>
      <c r="C15" s="40" t="s">
        <v>24</v>
      </c>
      <c r="D15" s="41"/>
      <c r="E15" s="41"/>
      <c r="F15" s="41"/>
      <c r="G15" s="42"/>
      <c r="H15" s="39" t="s">
        <v>25</v>
      </c>
      <c r="I15" s="48" t="s">
        <v>128</v>
      </c>
      <c r="J15" s="45">
        <v>6.1016666666666666</v>
      </c>
      <c r="K15" s="45">
        <v>6.6076499999999996</v>
      </c>
      <c r="L15" s="45">
        <v>6.8966666666666665</v>
      </c>
      <c r="M15" s="45">
        <v>7.1977777777777767</v>
      </c>
      <c r="N15" s="45">
        <v>6.1150000000000002</v>
      </c>
      <c r="O15" s="45"/>
    </row>
    <row r="16" spans="2:15">
      <c r="B16" s="39">
        <v>2</v>
      </c>
      <c r="C16" s="40" t="s">
        <v>27</v>
      </c>
      <c r="D16" s="41"/>
      <c r="E16" s="41"/>
      <c r="F16" s="41"/>
      <c r="G16" s="42"/>
      <c r="H16" s="39" t="s">
        <v>2</v>
      </c>
      <c r="I16" s="43" t="s">
        <v>25</v>
      </c>
      <c r="J16" s="49">
        <v>3.4766003333333328</v>
      </c>
      <c r="K16" s="49" t="s">
        <v>25</v>
      </c>
      <c r="L16" s="49">
        <v>0.68950952380952379</v>
      </c>
      <c r="M16" s="49">
        <v>1.0553444444444444</v>
      </c>
      <c r="N16" s="49">
        <v>0.98421428571428571</v>
      </c>
      <c r="O16" s="49"/>
    </row>
    <row r="17" spans="2:15">
      <c r="B17" s="39">
        <v>3</v>
      </c>
      <c r="C17" s="40" t="s">
        <v>28</v>
      </c>
      <c r="D17" s="41"/>
      <c r="E17" s="41"/>
      <c r="F17" s="41"/>
      <c r="G17" s="42"/>
      <c r="H17" s="39" t="s">
        <v>2</v>
      </c>
      <c r="I17" s="43" t="s">
        <v>25</v>
      </c>
      <c r="J17" s="50">
        <v>0.48207000000000005</v>
      </c>
      <c r="K17" s="50" t="s">
        <v>25</v>
      </c>
      <c r="L17" s="50">
        <v>0.78233333333333344</v>
      </c>
      <c r="M17" s="50">
        <v>0.52455555555555566</v>
      </c>
      <c r="N17" s="50">
        <v>0.69571428571428562</v>
      </c>
      <c r="O17" s="50"/>
    </row>
    <row r="18" spans="2:15">
      <c r="B18" s="39">
        <v>4</v>
      </c>
      <c r="C18" s="40" t="s">
        <v>29</v>
      </c>
      <c r="D18" s="41"/>
      <c r="E18" s="41"/>
      <c r="F18" s="41"/>
      <c r="G18" s="42"/>
      <c r="H18" s="39" t="s">
        <v>2</v>
      </c>
      <c r="I18" s="47">
        <v>1.5</v>
      </c>
      <c r="J18" s="50" t="s">
        <v>85</v>
      </c>
      <c r="K18" s="50" t="s">
        <v>25</v>
      </c>
      <c r="L18" s="50">
        <v>0.17273809523809525</v>
      </c>
      <c r="M18" s="50">
        <v>0.17953333333333335</v>
      </c>
      <c r="N18" s="50">
        <v>2.7000714285714289</v>
      </c>
      <c r="O18" s="50"/>
    </row>
    <row r="19" spans="2:15">
      <c r="B19" s="39">
        <v>5</v>
      </c>
      <c r="C19" s="40" t="s">
        <v>30</v>
      </c>
      <c r="D19" s="41"/>
      <c r="E19" s="41"/>
      <c r="F19" s="41"/>
      <c r="G19" s="42"/>
      <c r="H19" s="39" t="s">
        <v>2</v>
      </c>
      <c r="I19" s="51">
        <v>0.01</v>
      </c>
      <c r="J19" s="49" t="s">
        <v>86</v>
      </c>
      <c r="K19" s="49" t="s">
        <v>25</v>
      </c>
      <c r="L19" s="49">
        <v>2.0000000000000004E-4</v>
      </c>
      <c r="M19" s="49">
        <v>2.0000000000000004E-4</v>
      </c>
      <c r="N19" s="49">
        <v>1.8714285714285714E-3</v>
      </c>
      <c r="O19" s="49"/>
    </row>
    <row r="20" spans="2:15">
      <c r="B20" s="39">
        <v>6</v>
      </c>
      <c r="C20" s="40" t="s">
        <v>129</v>
      </c>
      <c r="D20" s="41"/>
      <c r="E20" s="41"/>
      <c r="F20" s="41"/>
      <c r="G20" s="42"/>
      <c r="H20" s="39" t="s">
        <v>2</v>
      </c>
      <c r="I20" s="46">
        <v>600</v>
      </c>
      <c r="J20" s="51">
        <v>10.686833333333334</v>
      </c>
      <c r="K20" s="51">
        <v>20.0245</v>
      </c>
      <c r="L20" s="51">
        <v>5.2385714285714302</v>
      </c>
      <c r="M20" s="51">
        <v>7.7544444444444434</v>
      </c>
      <c r="N20" s="51">
        <v>9.3279285714285702</v>
      </c>
      <c r="O20" s="51"/>
    </row>
    <row r="21" spans="2:15">
      <c r="B21" s="39">
        <v>7</v>
      </c>
      <c r="C21" s="40" t="s">
        <v>32</v>
      </c>
      <c r="D21" s="41"/>
      <c r="E21" s="41"/>
      <c r="F21" s="41"/>
      <c r="G21" s="42"/>
      <c r="H21" s="39" t="s">
        <v>2</v>
      </c>
      <c r="I21" s="51">
        <v>0.03</v>
      </c>
      <c r="J21" s="47">
        <v>6.666666666666668E-2</v>
      </c>
      <c r="K21" s="47" t="s">
        <v>25</v>
      </c>
      <c r="L21" s="47">
        <v>0</v>
      </c>
      <c r="M21" s="47">
        <v>0</v>
      </c>
      <c r="N21" s="47">
        <v>0.14799999999999999</v>
      </c>
      <c r="O21" s="47"/>
    </row>
    <row r="22" spans="2:15">
      <c r="B22" s="39">
        <v>8</v>
      </c>
      <c r="C22" s="40" t="s">
        <v>33</v>
      </c>
      <c r="D22" s="41"/>
      <c r="E22" s="41"/>
      <c r="F22" s="41"/>
      <c r="G22" s="42"/>
      <c r="H22" s="39" t="s">
        <v>2</v>
      </c>
      <c r="I22" s="51">
        <v>0.05</v>
      </c>
      <c r="J22" s="49" t="s">
        <v>87</v>
      </c>
      <c r="K22" s="49" t="s">
        <v>25</v>
      </c>
      <c r="L22" s="49">
        <v>2.0000000000000004E-4</v>
      </c>
      <c r="M22" s="49">
        <v>2.0000000000000004E-4</v>
      </c>
      <c r="N22" s="49">
        <v>1.8571428571428574E-4</v>
      </c>
      <c r="O22" s="49"/>
    </row>
    <row r="23" spans="2:15">
      <c r="B23" s="39">
        <v>9</v>
      </c>
      <c r="C23" s="40" t="s">
        <v>34</v>
      </c>
      <c r="D23" s="41"/>
      <c r="E23" s="41"/>
      <c r="F23" s="41"/>
      <c r="G23" s="42"/>
      <c r="H23" s="39" t="s">
        <v>2</v>
      </c>
      <c r="I23" s="43" t="s">
        <v>25</v>
      </c>
      <c r="J23" s="49">
        <v>0.53071296666666667</v>
      </c>
      <c r="K23" s="49" t="s">
        <v>25</v>
      </c>
      <c r="L23" s="49">
        <v>0.58349523809523796</v>
      </c>
      <c r="M23" s="49">
        <v>0.36288888888888887</v>
      </c>
      <c r="N23" s="49">
        <v>1.6705000000000001</v>
      </c>
      <c r="O23" s="49"/>
    </row>
    <row r="24" spans="2:15">
      <c r="B24" s="39">
        <v>10</v>
      </c>
      <c r="C24" s="40" t="s">
        <v>130</v>
      </c>
      <c r="D24" s="41"/>
      <c r="E24" s="41"/>
      <c r="F24" s="41"/>
      <c r="G24" s="42"/>
      <c r="H24" s="39" t="s">
        <v>2</v>
      </c>
      <c r="I24" s="46">
        <v>10</v>
      </c>
      <c r="J24" s="50">
        <v>0.9029166666666667</v>
      </c>
      <c r="K24" s="50" t="s">
        <v>25</v>
      </c>
      <c r="L24" s="50">
        <v>0.8112857142857145</v>
      </c>
      <c r="M24" s="50">
        <v>0.29066666666666668</v>
      </c>
      <c r="N24" s="50">
        <v>0.30664285714285716</v>
      </c>
      <c r="O24" s="50"/>
    </row>
    <row r="25" spans="2:15">
      <c r="B25" s="39">
        <v>11</v>
      </c>
      <c r="C25" s="40" t="s">
        <v>131</v>
      </c>
      <c r="D25" s="41"/>
      <c r="E25" s="41"/>
      <c r="F25" s="41"/>
      <c r="G25" s="42"/>
      <c r="H25" s="39" t="s">
        <v>2</v>
      </c>
      <c r="I25" s="51">
        <v>0.06</v>
      </c>
      <c r="J25" s="50">
        <v>4.3626666666666668E-2</v>
      </c>
      <c r="K25" s="50" t="s">
        <v>25</v>
      </c>
      <c r="L25" s="50">
        <v>2.3904761904761904E-2</v>
      </c>
      <c r="M25" s="50">
        <v>2.1888888888888888E-2</v>
      </c>
      <c r="N25" s="50">
        <v>3.9142857142857153E-2</v>
      </c>
      <c r="O25" s="50"/>
    </row>
    <row r="26" spans="2:15">
      <c r="B26" s="39">
        <v>12</v>
      </c>
      <c r="C26" s="40" t="s">
        <v>37</v>
      </c>
      <c r="D26" s="41"/>
      <c r="E26" s="41"/>
      <c r="F26" s="41"/>
      <c r="G26" s="42"/>
      <c r="H26" s="39" t="s">
        <v>2</v>
      </c>
      <c r="I26" s="46" t="s">
        <v>38</v>
      </c>
      <c r="J26" s="51">
        <v>5.371833333333333</v>
      </c>
      <c r="K26" s="51">
        <v>4.8394999999999992</v>
      </c>
      <c r="L26" s="51">
        <v>3.3319047619047621</v>
      </c>
      <c r="M26" s="51">
        <v>3.5211111111111109</v>
      </c>
      <c r="N26" s="51">
        <v>3.9640000000000009</v>
      </c>
      <c r="O26" s="51"/>
    </row>
    <row r="27" spans="2:15">
      <c r="B27" s="39">
        <v>13</v>
      </c>
      <c r="C27" s="40" t="s">
        <v>39</v>
      </c>
      <c r="D27" s="41"/>
      <c r="E27" s="41"/>
      <c r="F27" s="41"/>
      <c r="G27" s="42"/>
      <c r="H27" s="39" t="s">
        <v>2</v>
      </c>
      <c r="I27" s="46">
        <v>3</v>
      </c>
      <c r="J27" s="51">
        <v>15.641333333333336</v>
      </c>
      <c r="K27" s="51">
        <v>3.8024999999999998</v>
      </c>
      <c r="L27" s="51">
        <v>13.146666666666665</v>
      </c>
      <c r="M27" s="51">
        <v>23.117777777777778</v>
      </c>
      <c r="N27" s="51">
        <v>2.0857142857142859</v>
      </c>
      <c r="O27" s="51"/>
    </row>
    <row r="28" spans="2:15">
      <c r="B28" s="39">
        <v>14</v>
      </c>
      <c r="C28" s="40" t="s">
        <v>40</v>
      </c>
      <c r="D28" s="41"/>
      <c r="E28" s="41"/>
      <c r="F28" s="41"/>
      <c r="G28" s="42"/>
      <c r="H28" s="39" t="s">
        <v>2</v>
      </c>
      <c r="I28" s="46">
        <v>25</v>
      </c>
      <c r="J28" s="51">
        <v>34.344666666666669</v>
      </c>
      <c r="K28" s="51">
        <v>5.87</v>
      </c>
      <c r="L28" s="51">
        <v>23.1247619047619</v>
      </c>
      <c r="M28" s="51">
        <v>35.437777777777775</v>
      </c>
      <c r="N28" s="51">
        <v>14.519428571428572</v>
      </c>
      <c r="O28" s="51"/>
    </row>
    <row r="29" spans="2:15">
      <c r="B29" s="39">
        <v>15</v>
      </c>
      <c r="C29" s="40" t="s">
        <v>41</v>
      </c>
      <c r="D29" s="41"/>
      <c r="E29" s="41"/>
      <c r="F29" s="41"/>
      <c r="G29" s="42"/>
      <c r="H29" s="39" t="s">
        <v>2</v>
      </c>
      <c r="I29" s="51">
        <v>0.05</v>
      </c>
      <c r="J29" s="50">
        <v>8.3263333333333328E-2</v>
      </c>
      <c r="K29" s="50" t="s">
        <v>25</v>
      </c>
      <c r="L29" s="50">
        <v>0.17728571428571427</v>
      </c>
      <c r="M29" s="50">
        <v>7.877777777777778E-2</v>
      </c>
      <c r="N29" s="50">
        <v>1.8857142857142857E-2</v>
      </c>
      <c r="O29" s="50"/>
    </row>
    <row r="30" spans="2:15">
      <c r="B30" s="39">
        <v>16</v>
      </c>
      <c r="C30" s="40" t="s">
        <v>42</v>
      </c>
      <c r="D30" s="41"/>
      <c r="E30" s="41"/>
      <c r="F30" s="41"/>
      <c r="G30" s="42"/>
      <c r="H30" s="39" t="s">
        <v>2</v>
      </c>
      <c r="I30" s="51">
        <v>0.02</v>
      </c>
      <c r="J30" s="47">
        <v>0</v>
      </c>
      <c r="K30" s="47" t="s">
        <v>25</v>
      </c>
      <c r="L30" s="47">
        <v>0</v>
      </c>
      <c r="M30" s="47">
        <v>0</v>
      </c>
      <c r="N30" s="47">
        <v>1E-3</v>
      </c>
      <c r="O30" s="47"/>
    </row>
    <row r="31" spans="2:15">
      <c r="B31" s="39">
        <v>17</v>
      </c>
      <c r="C31" s="40" t="s">
        <v>132</v>
      </c>
      <c r="D31" s="41"/>
      <c r="E31" s="41"/>
      <c r="F31" s="41"/>
      <c r="G31" s="42"/>
      <c r="H31" s="39" t="s">
        <v>2</v>
      </c>
      <c r="I31" s="43" t="s">
        <v>25</v>
      </c>
      <c r="J31" s="50">
        <v>92.951250000000002</v>
      </c>
      <c r="K31" s="50" t="s">
        <v>25</v>
      </c>
      <c r="L31" s="50">
        <v>17.775285714285712</v>
      </c>
      <c r="M31" s="50">
        <v>23.761333333333333</v>
      </c>
      <c r="N31" s="50">
        <v>90.069499999999991</v>
      </c>
      <c r="O31" s="50"/>
    </row>
    <row r="32" spans="2:15">
      <c r="B32" s="39">
        <v>18</v>
      </c>
      <c r="C32" s="40" t="s">
        <v>133</v>
      </c>
      <c r="D32" s="41"/>
      <c r="E32" s="41"/>
      <c r="F32" s="41"/>
      <c r="G32" s="42"/>
      <c r="H32" s="39" t="s">
        <v>2</v>
      </c>
      <c r="I32" s="50">
        <v>2E-3</v>
      </c>
      <c r="J32" s="49" t="s">
        <v>88</v>
      </c>
      <c r="K32" s="49" t="s">
        <v>25</v>
      </c>
      <c r="L32" s="49">
        <v>1.1000000000000001E-3</v>
      </c>
      <c r="M32" s="49">
        <v>1.1000000000000001E-3</v>
      </c>
      <c r="N32" s="49">
        <v>3.4999999999999996E-2</v>
      </c>
      <c r="O32" s="49"/>
    </row>
    <row r="33" spans="2:15">
      <c r="B33" s="39">
        <v>19</v>
      </c>
      <c r="C33" s="40" t="s">
        <v>45</v>
      </c>
      <c r="D33" s="41"/>
      <c r="E33" s="41"/>
      <c r="F33" s="41"/>
      <c r="G33" s="42"/>
      <c r="H33" s="39" t="s">
        <v>2</v>
      </c>
      <c r="I33" s="51">
        <v>0.02</v>
      </c>
      <c r="J33" s="49">
        <v>1.5491666666666664E-2</v>
      </c>
      <c r="K33" s="49" t="s">
        <v>25</v>
      </c>
      <c r="L33" s="49">
        <v>7.7999999999999996E-3</v>
      </c>
      <c r="M33" s="49">
        <v>7.7999999999999996E-3</v>
      </c>
      <c r="N33" s="49">
        <v>2E-3</v>
      </c>
      <c r="O33" s="49"/>
    </row>
    <row r="34" spans="2:15">
      <c r="B34" s="39">
        <v>20</v>
      </c>
      <c r="C34" s="40" t="s">
        <v>46</v>
      </c>
      <c r="D34" s="41"/>
      <c r="E34" s="41"/>
      <c r="F34" s="41"/>
      <c r="G34" s="42"/>
      <c r="H34" s="39" t="s">
        <v>2</v>
      </c>
      <c r="I34" s="51">
        <v>0.03</v>
      </c>
      <c r="J34" s="49" t="s">
        <v>90</v>
      </c>
      <c r="K34" s="49" t="s">
        <v>25</v>
      </c>
      <c r="L34" s="49">
        <v>2.2047619047619047E-3</v>
      </c>
      <c r="M34" s="49">
        <v>2.5555555555555553E-3</v>
      </c>
      <c r="N34" s="49">
        <v>2.9999999999999996E-3</v>
      </c>
      <c r="O34" s="49"/>
    </row>
    <row r="35" spans="2:15">
      <c r="B35" s="39">
        <v>21</v>
      </c>
      <c r="C35" s="40" t="s">
        <v>134</v>
      </c>
      <c r="D35" s="41"/>
      <c r="E35" s="41"/>
      <c r="F35" s="41"/>
      <c r="G35" s="42"/>
      <c r="H35" s="39" t="s">
        <v>2</v>
      </c>
      <c r="I35" s="47">
        <v>0.2</v>
      </c>
      <c r="J35" s="49">
        <v>0.11881083333333334</v>
      </c>
      <c r="K35" s="49" t="s">
        <v>25</v>
      </c>
      <c r="L35" s="49">
        <v>4.8628571428571424E-2</v>
      </c>
      <c r="M35" s="49">
        <v>6.724444444444444E-2</v>
      </c>
      <c r="N35" s="49">
        <v>0.10878571428571428</v>
      </c>
      <c r="O35" s="49"/>
    </row>
    <row r="36" spans="2:15">
      <c r="B36" s="39">
        <v>22</v>
      </c>
      <c r="C36" s="40" t="s">
        <v>48</v>
      </c>
      <c r="D36" s="41"/>
      <c r="E36" s="41"/>
      <c r="F36" s="41"/>
      <c r="G36" s="42"/>
      <c r="H36" s="39" t="s">
        <v>2</v>
      </c>
      <c r="I36" s="50">
        <v>1E-3</v>
      </c>
      <c r="J36" s="49" t="s">
        <v>92</v>
      </c>
      <c r="K36" s="49" t="s">
        <v>25</v>
      </c>
      <c r="L36" s="49">
        <v>6.9047619047619036E-4</v>
      </c>
      <c r="M36" s="49">
        <v>5.9999999999999995E-4</v>
      </c>
      <c r="N36" s="49">
        <v>5.7142857142857143E-3</v>
      </c>
      <c r="O36" s="49"/>
    </row>
    <row r="37" spans="2:15">
      <c r="B37" s="39">
        <v>23</v>
      </c>
      <c r="C37" s="40" t="s">
        <v>49</v>
      </c>
      <c r="D37" s="41"/>
      <c r="E37" s="41"/>
      <c r="F37" s="41"/>
      <c r="G37" s="42"/>
      <c r="H37" s="39" t="s">
        <v>2</v>
      </c>
      <c r="I37" s="46">
        <v>1</v>
      </c>
      <c r="J37" s="50">
        <v>8.9500000000000014E-3</v>
      </c>
      <c r="K37" s="50" t="s">
        <v>25</v>
      </c>
      <c r="L37" s="50">
        <v>1.2714285714285714E-2</v>
      </c>
      <c r="M37" s="50">
        <v>2.4E-2</v>
      </c>
      <c r="N37" s="50">
        <v>3.2785714285714279E-2</v>
      </c>
      <c r="O37" s="50"/>
    </row>
    <row r="38" spans="2:15">
      <c r="B38" s="39">
        <v>24</v>
      </c>
      <c r="C38" s="40" t="s">
        <v>50</v>
      </c>
      <c r="D38" s="41"/>
      <c r="E38" s="41"/>
      <c r="F38" s="41"/>
      <c r="G38" s="42"/>
      <c r="H38" s="39" t="s">
        <v>2</v>
      </c>
      <c r="I38" s="47">
        <v>0.2</v>
      </c>
      <c r="J38" s="50">
        <v>4.3445714285714289E-2</v>
      </c>
      <c r="K38" s="50">
        <v>0.13241600000000001</v>
      </c>
      <c r="L38" s="50">
        <v>3.8557142857142852E-2</v>
      </c>
      <c r="M38" s="50">
        <v>7.1000000000000008E-2</v>
      </c>
      <c r="N38" s="50">
        <v>9.928571428571429E-3</v>
      </c>
      <c r="O38" s="50"/>
    </row>
    <row r="39" spans="2:15">
      <c r="B39" s="39">
        <v>25</v>
      </c>
      <c r="C39" s="40" t="s">
        <v>51</v>
      </c>
      <c r="D39" s="41"/>
      <c r="E39" s="41"/>
      <c r="F39" s="41"/>
      <c r="G39" s="42"/>
      <c r="H39" s="39" t="s">
        <v>2</v>
      </c>
      <c r="I39" s="51">
        <v>0.05</v>
      </c>
      <c r="J39" s="49" t="s">
        <v>86</v>
      </c>
      <c r="K39" s="49" t="s">
        <v>25</v>
      </c>
      <c r="L39" s="49">
        <v>2.0999999999999999E-3</v>
      </c>
      <c r="M39" s="49">
        <v>2.0999999999999999E-3</v>
      </c>
      <c r="N39" s="49">
        <v>1E-3</v>
      </c>
      <c r="O39" s="49"/>
    </row>
    <row r="40" spans="2:15">
      <c r="B40" s="39">
        <v>26</v>
      </c>
      <c r="C40" s="40" t="s">
        <v>52</v>
      </c>
      <c r="D40" s="41"/>
      <c r="E40" s="41"/>
      <c r="F40" s="41"/>
      <c r="G40" s="42"/>
      <c r="H40" s="39" t="s">
        <v>53</v>
      </c>
      <c r="I40" s="39" t="s">
        <v>54</v>
      </c>
      <c r="J40" s="52">
        <v>130.93</v>
      </c>
      <c r="K40" s="47">
        <v>89.261499999999998</v>
      </c>
      <c r="L40" s="52" t="s">
        <v>25</v>
      </c>
      <c r="M40" s="47" t="s">
        <v>25</v>
      </c>
      <c r="N40" s="52" t="s">
        <v>25</v>
      </c>
      <c r="O40" s="47"/>
    </row>
    <row r="41" spans="2:15">
      <c r="B41" s="39">
        <v>27</v>
      </c>
      <c r="C41" s="40" t="s">
        <v>55</v>
      </c>
      <c r="D41" s="41"/>
      <c r="E41" s="41"/>
      <c r="F41" s="41"/>
      <c r="G41" s="42"/>
      <c r="H41" s="53" t="s">
        <v>56</v>
      </c>
      <c r="I41" s="39" t="s">
        <v>54</v>
      </c>
      <c r="J41" s="50">
        <v>0.47655000000000003</v>
      </c>
      <c r="K41" s="50">
        <v>0.57190000000000007</v>
      </c>
      <c r="L41" s="54" t="s">
        <v>25</v>
      </c>
      <c r="M41" s="50" t="s">
        <v>25</v>
      </c>
      <c r="N41" s="54" t="s">
        <v>25</v>
      </c>
      <c r="O41" s="50"/>
    </row>
    <row r="42" spans="2:15">
      <c r="B42" s="39"/>
      <c r="C42" s="40"/>
      <c r="D42" s="41"/>
      <c r="E42" s="41"/>
      <c r="F42" s="41"/>
      <c r="G42" s="42"/>
      <c r="H42" s="53"/>
      <c r="I42" s="39"/>
      <c r="J42" s="50"/>
      <c r="K42" s="50"/>
      <c r="L42" s="50"/>
      <c r="M42" s="50"/>
      <c r="N42" s="50"/>
      <c r="O42" s="50"/>
    </row>
    <row r="43" spans="2:15">
      <c r="B43" s="44"/>
      <c r="C43" s="190" t="s">
        <v>57</v>
      </c>
      <c r="D43" s="190"/>
      <c r="E43" s="190"/>
      <c r="F43" s="190"/>
      <c r="G43" s="190"/>
      <c r="H43" s="190"/>
      <c r="I43" s="190"/>
      <c r="J43" s="190"/>
      <c r="K43" s="190"/>
      <c r="L43" s="190"/>
      <c r="M43" s="190"/>
      <c r="N43" s="190"/>
      <c r="O43" s="191"/>
    </row>
    <row r="44" spans="2:15">
      <c r="B44" s="39">
        <v>1</v>
      </c>
      <c r="C44" s="40" t="s">
        <v>58</v>
      </c>
      <c r="D44" s="41"/>
      <c r="E44" s="41"/>
      <c r="F44" s="41"/>
      <c r="G44" s="42"/>
      <c r="H44" s="39" t="s">
        <v>59</v>
      </c>
      <c r="I44" s="46">
        <v>10000</v>
      </c>
      <c r="J44" s="55">
        <v>901602.83333333337</v>
      </c>
      <c r="K44" s="56">
        <v>179075</v>
      </c>
      <c r="L44" s="57">
        <v>385728.57142857142</v>
      </c>
      <c r="M44" s="55">
        <v>792100</v>
      </c>
      <c r="N44" s="56">
        <v>515350</v>
      </c>
      <c r="O44" s="56"/>
    </row>
    <row r="45" spans="2:15">
      <c r="B45" s="39">
        <v>2</v>
      </c>
      <c r="C45" s="40" t="s">
        <v>60</v>
      </c>
      <c r="D45" s="41"/>
      <c r="E45" s="41"/>
      <c r="F45" s="41"/>
      <c r="G45" s="42"/>
      <c r="H45" s="39" t="s">
        <v>59</v>
      </c>
      <c r="I45" s="46">
        <v>1000</v>
      </c>
      <c r="J45" s="55">
        <v>762895.83333333326</v>
      </c>
      <c r="K45" s="56">
        <v>127374</v>
      </c>
      <c r="L45" s="57">
        <v>232866.66666666666</v>
      </c>
      <c r="M45" s="55">
        <v>474322.22222222225</v>
      </c>
      <c r="N45" s="56">
        <v>200866.66666666666</v>
      </c>
      <c r="O45" s="56"/>
    </row>
    <row r="46" spans="2:15">
      <c r="B46" s="189"/>
      <c r="C46" s="189"/>
      <c r="D46" s="189"/>
      <c r="E46" s="189"/>
      <c r="F46" s="189"/>
      <c r="G46" s="189"/>
      <c r="H46" s="189"/>
      <c r="I46" s="189"/>
      <c r="J46" s="189"/>
      <c r="K46" s="189"/>
      <c r="L46" s="189"/>
      <c r="M46" s="189"/>
      <c r="N46" s="189"/>
      <c r="O46" s="189"/>
    </row>
    <row r="47" spans="2:15">
      <c r="B47" s="58"/>
      <c r="C47" s="207" t="s">
        <v>61</v>
      </c>
      <c r="D47" s="208"/>
      <c r="E47" s="208"/>
      <c r="F47" s="208"/>
      <c r="G47" s="209"/>
      <c r="H47" s="59"/>
      <c r="I47" s="40"/>
      <c r="J47" s="39" t="s">
        <v>11</v>
      </c>
      <c r="K47" s="39" t="s">
        <v>11</v>
      </c>
      <c r="L47" s="39" t="s">
        <v>11</v>
      </c>
      <c r="M47" s="39" t="s">
        <v>11</v>
      </c>
      <c r="N47" s="39" t="s">
        <v>11</v>
      </c>
      <c r="O47" s="60"/>
    </row>
    <row r="48" spans="2:15" ht="32.65" customHeight="1">
      <c r="B48" s="58"/>
      <c r="C48" s="210" t="s">
        <v>135</v>
      </c>
      <c r="D48" s="211"/>
      <c r="E48" s="211"/>
      <c r="F48" s="211"/>
      <c r="G48" s="211"/>
      <c r="H48" s="212"/>
      <c r="I48" s="61"/>
      <c r="J48" s="162" t="s">
        <v>95</v>
      </c>
      <c r="K48" s="162" t="s">
        <v>108</v>
      </c>
      <c r="L48" s="162" t="s">
        <v>107</v>
      </c>
      <c r="M48" s="163" t="s">
        <v>118</v>
      </c>
      <c r="N48" s="163" t="s">
        <v>126</v>
      </c>
      <c r="O48" s="60"/>
    </row>
    <row r="50" spans="9:10">
      <c r="I50" s="165"/>
      <c r="J50" t="s">
        <v>913</v>
      </c>
    </row>
    <row r="51" spans="9:10">
      <c r="I51" s="164"/>
      <c r="J51" t="s">
        <v>912</v>
      </c>
    </row>
  </sheetData>
  <mergeCells count="17">
    <mergeCell ref="C47:G47"/>
    <mergeCell ref="C48:H48"/>
    <mergeCell ref="O3:O5"/>
    <mergeCell ref="B46:O46"/>
    <mergeCell ref="C9:O9"/>
    <mergeCell ref="C14:O14"/>
    <mergeCell ref="C43:O43"/>
    <mergeCell ref="K4:K5"/>
    <mergeCell ref="L4:L5"/>
    <mergeCell ref="M4:M5"/>
    <mergeCell ref="N4:N5"/>
    <mergeCell ref="J3:N3"/>
    <mergeCell ref="B3:B5"/>
    <mergeCell ref="C3:G5"/>
    <mergeCell ref="H3:H5"/>
    <mergeCell ref="I3:I5"/>
    <mergeCell ref="J4:J5"/>
  </mergeCells>
  <pageMargins left="0.7" right="0.7" top="0.75" bottom="0.75" header="0.3" footer="0.3"/>
  <pageSetup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E6803E-E632-4F9D-B47D-98AAD52BC8DD}">
  <dimension ref="B3:K36"/>
  <sheetViews>
    <sheetView topLeftCell="C1" workbookViewId="0">
      <selection activeCell="F4" sqref="F4"/>
    </sheetView>
  </sheetViews>
  <sheetFormatPr defaultRowHeight="14.25"/>
  <cols>
    <col min="2" max="2" width="4.3984375" customWidth="1"/>
    <col min="3" max="3" width="19.6640625" customWidth="1"/>
    <col min="4" max="4" width="10.265625" style="67" customWidth="1"/>
    <col min="5" max="6" width="25.53125" style="71" customWidth="1"/>
    <col min="7" max="7" width="20.33203125" bestFit="1" customWidth="1"/>
    <col min="8" max="8" width="20.1328125" customWidth="1"/>
    <col min="9" max="9" width="15.265625" customWidth="1"/>
    <col min="10" max="10" width="23.3984375" style="67" customWidth="1"/>
    <col min="11" max="11" width="17.265625" customWidth="1"/>
  </cols>
  <sheetData>
    <row r="3" spans="2:11">
      <c r="B3" s="64" t="s">
        <v>7</v>
      </c>
      <c r="C3" s="63" t="s">
        <v>136</v>
      </c>
      <c r="D3" s="64" t="s">
        <v>142</v>
      </c>
      <c r="E3" s="64" t="s">
        <v>137</v>
      </c>
      <c r="F3" s="64" t="s">
        <v>146</v>
      </c>
      <c r="G3" s="63" t="s">
        <v>145</v>
      </c>
      <c r="H3" s="63" t="s">
        <v>138</v>
      </c>
      <c r="I3" s="63" t="s">
        <v>139</v>
      </c>
      <c r="J3" s="64" t="s">
        <v>140</v>
      </c>
      <c r="K3" s="63" t="s">
        <v>63</v>
      </c>
    </row>
    <row r="4" spans="2:11" ht="71.650000000000006" customHeight="1">
      <c r="B4" s="2">
        <v>1</v>
      </c>
      <c r="C4" s="73" t="s">
        <v>141</v>
      </c>
      <c r="D4" s="1" t="s">
        <v>143</v>
      </c>
      <c r="E4" s="72" t="s">
        <v>144</v>
      </c>
      <c r="F4" s="1" t="s">
        <v>147</v>
      </c>
      <c r="G4" s="2">
        <v>415</v>
      </c>
      <c r="H4" s="62"/>
      <c r="I4" s="2">
        <v>165</v>
      </c>
      <c r="J4" s="87">
        <f>I4*$D$33/1000</f>
        <v>9.0749999999999993</v>
      </c>
      <c r="K4" s="62"/>
    </row>
    <row r="5" spans="2:11" s="3" customFormat="1" ht="71.650000000000006" customHeight="1">
      <c r="B5" s="2">
        <v>2</v>
      </c>
      <c r="C5" s="73" t="s">
        <v>149</v>
      </c>
      <c r="D5" s="1" t="s">
        <v>143</v>
      </c>
      <c r="E5" s="72" t="s">
        <v>150</v>
      </c>
      <c r="F5" s="1" t="s">
        <v>151</v>
      </c>
      <c r="G5" s="2">
        <v>485</v>
      </c>
      <c r="H5" s="62"/>
      <c r="I5" s="2">
        <v>180</v>
      </c>
      <c r="J5" s="2">
        <f t="shared" ref="J5:J15" si="0">I5*$D$33/1000</f>
        <v>9.9</v>
      </c>
      <c r="K5" s="62"/>
    </row>
    <row r="6" spans="2:11" s="3" customFormat="1" ht="71.650000000000006" customHeight="1">
      <c r="B6" s="2">
        <v>3</v>
      </c>
      <c r="C6" s="73" t="s">
        <v>152</v>
      </c>
      <c r="D6" s="1" t="s">
        <v>155</v>
      </c>
      <c r="E6" s="72" t="s">
        <v>153</v>
      </c>
      <c r="F6" s="1" t="s">
        <v>154</v>
      </c>
      <c r="G6" s="2">
        <v>546</v>
      </c>
      <c r="H6" s="62"/>
      <c r="I6" s="2">
        <v>60</v>
      </c>
      <c r="J6" s="2">
        <f t="shared" si="0"/>
        <v>3.3</v>
      </c>
      <c r="K6" s="62"/>
    </row>
    <row r="7" spans="2:11" s="3" customFormat="1" ht="71.650000000000006" customHeight="1">
      <c r="B7" s="2">
        <v>4</v>
      </c>
      <c r="C7" s="73" t="s">
        <v>156</v>
      </c>
      <c r="D7" s="1" t="s">
        <v>155</v>
      </c>
      <c r="E7" s="72" t="s">
        <v>158</v>
      </c>
      <c r="F7" s="1" t="s">
        <v>157</v>
      </c>
      <c r="G7" s="2">
        <v>671</v>
      </c>
      <c r="H7" s="62"/>
      <c r="I7" s="2">
        <v>162</v>
      </c>
      <c r="J7" s="2">
        <f t="shared" si="0"/>
        <v>8.91</v>
      </c>
      <c r="K7" s="62"/>
    </row>
    <row r="8" spans="2:11" s="3" customFormat="1" ht="71.650000000000006" customHeight="1">
      <c r="B8" s="2">
        <v>5</v>
      </c>
      <c r="C8" s="73" t="s">
        <v>159</v>
      </c>
      <c r="D8" s="1" t="s">
        <v>143</v>
      </c>
      <c r="E8" s="72" t="s">
        <v>158</v>
      </c>
      <c r="F8" s="1" t="s">
        <v>157</v>
      </c>
      <c r="G8" s="2">
        <v>709</v>
      </c>
      <c r="H8" s="62"/>
      <c r="I8" s="2">
        <v>139</v>
      </c>
      <c r="J8" s="87">
        <f>I8*$D$33/1000</f>
        <v>7.6449999999999996</v>
      </c>
      <c r="K8" s="62"/>
    </row>
    <row r="9" spans="2:11" s="3" customFormat="1" ht="71.650000000000006" customHeight="1">
      <c r="B9" s="2">
        <v>6</v>
      </c>
      <c r="C9" s="73" t="s">
        <v>178</v>
      </c>
      <c r="D9" s="1" t="s">
        <v>143</v>
      </c>
      <c r="E9" s="72" t="s">
        <v>180</v>
      </c>
      <c r="F9" s="1" t="s">
        <v>179</v>
      </c>
      <c r="G9" s="2">
        <v>703</v>
      </c>
      <c r="H9" s="62"/>
      <c r="I9" s="2">
        <v>130</v>
      </c>
      <c r="J9" s="2">
        <f t="shared" si="0"/>
        <v>7.15</v>
      </c>
      <c r="K9" s="62"/>
    </row>
    <row r="10" spans="2:11" s="3" customFormat="1" ht="71.650000000000006" customHeight="1">
      <c r="B10" s="2">
        <v>7</v>
      </c>
      <c r="C10" s="73" t="s">
        <v>181</v>
      </c>
      <c r="D10" s="1" t="s">
        <v>182</v>
      </c>
      <c r="E10" s="72" t="s">
        <v>183</v>
      </c>
      <c r="F10" s="1" t="s">
        <v>184</v>
      </c>
      <c r="G10" s="2">
        <v>637</v>
      </c>
      <c r="H10" s="62"/>
      <c r="I10" s="2">
        <v>166</v>
      </c>
      <c r="J10" s="2">
        <f t="shared" si="0"/>
        <v>9.1300000000000008</v>
      </c>
      <c r="K10" s="62"/>
    </row>
    <row r="11" spans="2:11" s="3" customFormat="1" ht="71.650000000000006" customHeight="1">
      <c r="B11" s="2">
        <v>8</v>
      </c>
      <c r="C11" s="73" t="s">
        <v>185</v>
      </c>
      <c r="D11" s="1" t="s">
        <v>155</v>
      </c>
      <c r="E11" s="72" t="s">
        <v>186</v>
      </c>
      <c r="F11" s="1" t="s">
        <v>187</v>
      </c>
      <c r="G11" s="2">
        <v>23</v>
      </c>
      <c r="H11" s="62"/>
      <c r="I11" s="2">
        <v>91</v>
      </c>
      <c r="J11" s="87">
        <f t="shared" si="0"/>
        <v>5.0049999999999999</v>
      </c>
      <c r="K11" s="62"/>
    </row>
    <row r="12" spans="2:11" s="3" customFormat="1" ht="71.650000000000006" customHeight="1">
      <c r="B12" s="2">
        <v>9</v>
      </c>
      <c r="C12" s="73" t="s">
        <v>188</v>
      </c>
      <c r="D12" s="1" t="s">
        <v>189</v>
      </c>
      <c r="E12" s="72" t="s">
        <v>190</v>
      </c>
      <c r="F12" s="1" t="s">
        <v>191</v>
      </c>
      <c r="G12" s="2">
        <v>315</v>
      </c>
      <c r="H12" s="62"/>
      <c r="I12" s="2">
        <v>47</v>
      </c>
      <c r="J12" s="87">
        <f>I12*$D$33/1000</f>
        <v>2.585</v>
      </c>
      <c r="K12" s="62"/>
    </row>
    <row r="13" spans="2:11" s="3" customFormat="1" ht="71.650000000000006" customHeight="1">
      <c r="B13" s="2">
        <v>10</v>
      </c>
      <c r="C13" s="73" t="s">
        <v>192</v>
      </c>
      <c r="D13" s="1" t="s">
        <v>195</v>
      </c>
      <c r="E13" s="72" t="s">
        <v>193</v>
      </c>
      <c r="F13" s="1" t="s">
        <v>194</v>
      </c>
      <c r="G13" s="2">
        <v>603</v>
      </c>
      <c r="H13" s="62"/>
      <c r="I13" s="2">
        <v>40</v>
      </c>
      <c r="J13" s="2">
        <f t="shared" si="0"/>
        <v>2.2000000000000002</v>
      </c>
      <c r="K13" s="62"/>
    </row>
    <row r="14" spans="2:11" s="3" customFormat="1" ht="71.650000000000006" customHeight="1">
      <c r="B14" s="2">
        <v>11</v>
      </c>
      <c r="C14" s="73" t="s">
        <v>196</v>
      </c>
      <c r="D14" s="1" t="s">
        <v>155</v>
      </c>
      <c r="E14" s="72" t="s">
        <v>197</v>
      </c>
      <c r="F14" s="1" t="s">
        <v>198</v>
      </c>
      <c r="G14" s="2">
        <v>1000</v>
      </c>
      <c r="H14" s="62"/>
      <c r="I14" s="2">
        <v>75</v>
      </c>
      <c r="J14" s="87">
        <f t="shared" si="0"/>
        <v>4.125</v>
      </c>
      <c r="K14" s="62"/>
    </row>
    <row r="15" spans="2:11" s="3" customFormat="1" ht="71.650000000000006" customHeight="1">
      <c r="B15" s="2">
        <v>12</v>
      </c>
      <c r="C15" s="73" t="s">
        <v>199</v>
      </c>
      <c r="D15" s="1" t="s">
        <v>195</v>
      </c>
      <c r="E15" s="72" t="s">
        <v>200</v>
      </c>
      <c r="F15" s="1" t="s">
        <v>203</v>
      </c>
      <c r="G15" s="2">
        <v>309</v>
      </c>
      <c r="H15" s="62"/>
      <c r="I15" s="2">
        <v>60</v>
      </c>
      <c r="J15" s="2">
        <f t="shared" si="0"/>
        <v>3.3</v>
      </c>
      <c r="K15" s="62"/>
    </row>
    <row r="16" spans="2:11" s="3" customFormat="1" ht="71.650000000000006" customHeight="1">
      <c r="B16" s="2">
        <v>13</v>
      </c>
      <c r="C16" s="73" t="s">
        <v>201</v>
      </c>
      <c r="D16" s="1" t="s">
        <v>195</v>
      </c>
      <c r="E16" s="72" t="s">
        <v>202</v>
      </c>
      <c r="F16" s="1">
        <v>82158771388</v>
      </c>
      <c r="G16" s="2">
        <v>50</v>
      </c>
      <c r="H16" s="62"/>
      <c r="I16" s="2">
        <v>30</v>
      </c>
      <c r="J16" s="2">
        <f t="shared" ref="J16:J23" si="1">I16*$D$33/1000</f>
        <v>1.65</v>
      </c>
      <c r="K16" s="62"/>
    </row>
    <row r="17" spans="2:11" s="3" customFormat="1" ht="71.650000000000006" customHeight="1">
      <c r="B17" s="2">
        <v>14</v>
      </c>
      <c r="C17" s="73" t="s">
        <v>204</v>
      </c>
      <c r="D17" s="1" t="s">
        <v>195</v>
      </c>
      <c r="E17" s="72" t="s">
        <v>205</v>
      </c>
      <c r="F17" s="1" t="s">
        <v>206</v>
      </c>
      <c r="G17" s="2">
        <v>80</v>
      </c>
      <c r="H17" s="62"/>
      <c r="I17" s="2">
        <v>35</v>
      </c>
      <c r="J17" s="2">
        <f t="shared" si="1"/>
        <v>1.925</v>
      </c>
      <c r="K17" s="62"/>
    </row>
    <row r="18" spans="2:11" s="3" customFormat="1" ht="71.650000000000006" customHeight="1">
      <c r="B18" s="2">
        <v>15</v>
      </c>
      <c r="C18" s="73" t="s">
        <v>207</v>
      </c>
      <c r="D18" s="1" t="s">
        <v>155</v>
      </c>
      <c r="E18" s="72" t="s">
        <v>208</v>
      </c>
      <c r="F18" s="1" t="s">
        <v>209</v>
      </c>
      <c r="G18" s="2">
        <v>298</v>
      </c>
      <c r="H18" s="62"/>
      <c r="I18" s="2">
        <v>174</v>
      </c>
      <c r="J18" s="2">
        <f t="shared" si="1"/>
        <v>9.57</v>
      </c>
      <c r="K18" s="62"/>
    </row>
    <row r="19" spans="2:11" s="3" customFormat="1" ht="71.650000000000006" customHeight="1">
      <c r="B19" s="2">
        <v>16</v>
      </c>
      <c r="C19" s="73" t="s">
        <v>213</v>
      </c>
      <c r="D19" s="1" t="s">
        <v>189</v>
      </c>
      <c r="E19" s="72" t="s">
        <v>214</v>
      </c>
      <c r="F19" s="1" t="s">
        <v>215</v>
      </c>
      <c r="G19" s="2">
        <v>345</v>
      </c>
      <c r="H19" s="62"/>
      <c r="I19" s="2">
        <v>102</v>
      </c>
      <c r="J19" s="2">
        <f t="shared" si="1"/>
        <v>5.61</v>
      </c>
      <c r="K19" s="62"/>
    </row>
    <row r="20" spans="2:11" s="3" customFormat="1" ht="71.650000000000006" customHeight="1">
      <c r="B20" s="2">
        <v>17</v>
      </c>
      <c r="C20" s="73" t="s">
        <v>220</v>
      </c>
      <c r="D20" s="1" t="s">
        <v>155</v>
      </c>
      <c r="E20" s="72" t="s">
        <v>221</v>
      </c>
      <c r="F20" s="1" t="s">
        <v>222</v>
      </c>
      <c r="G20" s="2">
        <v>230</v>
      </c>
      <c r="H20" s="62"/>
      <c r="I20" s="2">
        <v>80</v>
      </c>
      <c r="J20" s="2">
        <f t="shared" si="1"/>
        <v>4.4000000000000004</v>
      </c>
      <c r="K20" s="62"/>
    </row>
    <row r="21" spans="2:11" s="3" customFormat="1" ht="71.650000000000006" customHeight="1">
      <c r="B21" s="2">
        <v>18</v>
      </c>
      <c r="C21" s="73" t="s">
        <v>223</v>
      </c>
      <c r="D21" s="1" t="s">
        <v>195</v>
      </c>
      <c r="E21" s="72" t="s">
        <v>224</v>
      </c>
      <c r="F21" s="1" t="s">
        <v>225</v>
      </c>
      <c r="G21" s="2">
        <v>240</v>
      </c>
      <c r="H21" s="62"/>
      <c r="I21" s="2">
        <v>58</v>
      </c>
      <c r="J21" s="2">
        <f t="shared" si="1"/>
        <v>3.19</v>
      </c>
      <c r="K21" s="62"/>
    </row>
    <row r="22" spans="2:11" s="3" customFormat="1" ht="71.650000000000006" customHeight="1">
      <c r="B22" s="2">
        <v>19</v>
      </c>
      <c r="C22" s="73" t="s">
        <v>226</v>
      </c>
      <c r="D22" s="1" t="s">
        <v>189</v>
      </c>
      <c r="E22" s="72" t="s">
        <v>227</v>
      </c>
      <c r="F22" s="1" t="s">
        <v>228</v>
      </c>
      <c r="G22" s="2">
        <v>830</v>
      </c>
      <c r="H22" s="62"/>
      <c r="I22" s="2">
        <v>80</v>
      </c>
      <c r="J22" s="2">
        <f t="shared" si="1"/>
        <v>4.4000000000000004</v>
      </c>
      <c r="K22" s="62"/>
    </row>
    <row r="23" spans="2:11" s="3" customFormat="1" ht="71.650000000000006" customHeight="1">
      <c r="B23" s="2">
        <v>20</v>
      </c>
      <c r="C23" s="73" t="s">
        <v>229</v>
      </c>
      <c r="D23" s="1" t="s">
        <v>195</v>
      </c>
      <c r="E23" s="72" t="s">
        <v>230</v>
      </c>
      <c r="F23" s="1">
        <v>82151710830</v>
      </c>
      <c r="G23" s="2">
        <v>323</v>
      </c>
      <c r="H23" s="62"/>
      <c r="I23" s="2">
        <v>36</v>
      </c>
      <c r="J23" s="2">
        <f t="shared" si="1"/>
        <v>1.98</v>
      </c>
      <c r="K23" s="62"/>
    </row>
    <row r="24" spans="2:11" s="3" customFormat="1" ht="71.650000000000006" customHeight="1">
      <c r="B24" s="2"/>
      <c r="C24" s="73"/>
      <c r="D24" s="1"/>
      <c r="E24" s="72"/>
      <c r="F24" s="1"/>
      <c r="G24" s="2"/>
      <c r="H24" s="62"/>
      <c r="I24" s="2"/>
      <c r="J24" s="2"/>
      <c r="K24" s="62"/>
    </row>
    <row r="25" spans="2:11" s="3" customFormat="1" ht="71.650000000000006" customHeight="1">
      <c r="B25" s="2"/>
      <c r="C25" s="73"/>
      <c r="D25" s="1"/>
      <c r="E25" s="72"/>
      <c r="F25" s="1"/>
      <c r="G25" s="2"/>
      <c r="H25" s="62"/>
      <c r="I25" s="2"/>
      <c r="J25" s="2"/>
      <c r="K25" s="62"/>
    </row>
    <row r="26" spans="2:11">
      <c r="B26" s="213" t="s">
        <v>263</v>
      </c>
      <c r="C26" s="214"/>
      <c r="D26" s="214"/>
      <c r="E26" s="214"/>
      <c r="F26" s="214"/>
      <c r="G26" s="214"/>
      <c r="H26" s="214"/>
      <c r="I26" s="215"/>
      <c r="J26" s="96">
        <f>SUM(J4:J23)</f>
        <v>105.05000000000001</v>
      </c>
      <c r="K26" s="62"/>
    </row>
    <row r="27" spans="2:11">
      <c r="B27" s="2"/>
      <c r="C27" s="62"/>
      <c r="D27" s="2"/>
      <c r="E27" s="70"/>
      <c r="F27" s="70"/>
      <c r="G27" s="62"/>
      <c r="H27" s="62"/>
      <c r="I27" s="62"/>
      <c r="J27" s="2"/>
      <c r="K27" s="62"/>
    </row>
    <row r="31" spans="2:11">
      <c r="F31" s="71" t="s">
        <v>278</v>
      </c>
      <c r="G31" t="s">
        <v>909</v>
      </c>
    </row>
    <row r="32" spans="2:11">
      <c r="F32" s="71" t="s">
        <v>282</v>
      </c>
      <c r="G32">
        <v>10</v>
      </c>
    </row>
    <row r="33" spans="3:7">
      <c r="C33" t="s">
        <v>733</v>
      </c>
      <c r="D33" s="67">
        <v>55</v>
      </c>
      <c r="F33" s="71" t="s">
        <v>269</v>
      </c>
      <c r="G33">
        <v>4</v>
      </c>
    </row>
    <row r="34" spans="3:7">
      <c r="C34" t="s">
        <v>751</v>
      </c>
      <c r="D34" s="67">
        <v>1000</v>
      </c>
      <c r="F34" s="71" t="s">
        <v>281</v>
      </c>
      <c r="G34">
        <v>1</v>
      </c>
    </row>
    <row r="35" spans="3:7">
      <c r="F35" s="71" t="s">
        <v>276</v>
      </c>
      <c r="G35">
        <v>5</v>
      </c>
    </row>
    <row r="36" spans="3:7">
      <c r="F36" s="71" t="s">
        <v>272</v>
      </c>
      <c r="G36">
        <v>0</v>
      </c>
    </row>
  </sheetData>
  <mergeCells count="1">
    <mergeCell ref="B26:I26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18C22-0496-4EB5-8551-594CFC42232C}">
  <dimension ref="B3:K22"/>
  <sheetViews>
    <sheetView topLeftCell="A9" workbookViewId="0">
      <selection activeCell="J20" sqref="J20"/>
    </sheetView>
  </sheetViews>
  <sheetFormatPr defaultRowHeight="14.25"/>
  <cols>
    <col min="1" max="1" width="9.06640625" style="3"/>
    <col min="2" max="2" width="4.3984375" style="3" customWidth="1"/>
    <col min="3" max="3" width="19.6640625" style="3" customWidth="1"/>
    <col min="4" max="4" width="10.265625" style="67" customWidth="1"/>
    <col min="5" max="5" width="21.9296875" style="71" customWidth="1"/>
    <col min="6" max="6" width="12.73046875" style="71" customWidth="1"/>
    <col min="7" max="7" width="13.9296875" style="3" customWidth="1"/>
    <col min="8" max="8" width="20.1328125" style="3" customWidth="1"/>
    <col min="9" max="9" width="12.33203125" style="3" customWidth="1"/>
    <col min="10" max="10" width="14.265625" style="67" customWidth="1"/>
    <col min="11" max="11" width="17.265625" style="3" customWidth="1"/>
    <col min="12" max="16384" width="9.06640625" style="3"/>
  </cols>
  <sheetData>
    <row r="3" spans="2:11" ht="28.5">
      <c r="B3" s="77" t="s">
        <v>7</v>
      </c>
      <c r="C3" s="77" t="s">
        <v>148</v>
      </c>
      <c r="D3" s="77" t="s">
        <v>161</v>
      </c>
      <c r="E3" s="77" t="s">
        <v>137</v>
      </c>
      <c r="F3" s="77" t="s">
        <v>146</v>
      </c>
      <c r="G3" s="77" t="s">
        <v>145</v>
      </c>
      <c r="H3" s="77" t="s">
        <v>138</v>
      </c>
      <c r="I3" s="77" t="s">
        <v>165</v>
      </c>
      <c r="J3" s="77" t="s">
        <v>140</v>
      </c>
      <c r="K3" s="77" t="s">
        <v>63</v>
      </c>
    </row>
    <row r="4" spans="2:11" ht="84.75" customHeight="1">
      <c r="B4" s="2">
        <v>1</v>
      </c>
      <c r="C4" s="73" t="s">
        <v>160</v>
      </c>
      <c r="D4" s="1" t="s">
        <v>162</v>
      </c>
      <c r="E4" s="72" t="s">
        <v>163</v>
      </c>
      <c r="F4" s="1" t="s">
        <v>164</v>
      </c>
      <c r="G4" s="2">
        <v>200</v>
      </c>
      <c r="H4" s="62"/>
      <c r="I4" s="2">
        <v>140</v>
      </c>
      <c r="J4" s="2">
        <f>I4*$D$18/1000</f>
        <v>17.22</v>
      </c>
      <c r="K4" s="62"/>
    </row>
    <row r="5" spans="2:11" ht="84.75" customHeight="1">
      <c r="B5" s="2">
        <v>2</v>
      </c>
      <c r="C5" s="73" t="s">
        <v>169</v>
      </c>
      <c r="D5" s="1" t="s">
        <v>166</v>
      </c>
      <c r="E5" s="72" t="s">
        <v>167</v>
      </c>
      <c r="F5" s="1" t="s">
        <v>168</v>
      </c>
      <c r="G5" s="2">
        <v>137</v>
      </c>
      <c r="H5" s="62"/>
      <c r="I5" s="2">
        <v>190</v>
      </c>
      <c r="J5" s="2">
        <f t="shared" ref="J5:J10" si="0">I5*$D$18/1000</f>
        <v>23.37</v>
      </c>
      <c r="K5" s="62"/>
    </row>
    <row r="6" spans="2:11" ht="84.75" customHeight="1">
      <c r="B6" s="2">
        <v>3</v>
      </c>
      <c r="C6" s="73" t="s">
        <v>170</v>
      </c>
      <c r="D6" s="1" t="s">
        <v>173</v>
      </c>
      <c r="E6" s="72" t="s">
        <v>171</v>
      </c>
      <c r="F6" s="1" t="s">
        <v>172</v>
      </c>
      <c r="G6" s="2">
        <v>540</v>
      </c>
      <c r="H6" s="62"/>
      <c r="I6" s="2">
        <v>40</v>
      </c>
      <c r="J6" s="2">
        <f t="shared" si="0"/>
        <v>4.92</v>
      </c>
      <c r="K6" s="62"/>
    </row>
    <row r="7" spans="2:11" ht="84.75" customHeight="1">
      <c r="B7" s="2">
        <v>4</v>
      </c>
      <c r="C7" s="73" t="s">
        <v>174</v>
      </c>
      <c r="D7" s="1" t="s">
        <v>175</v>
      </c>
      <c r="E7" s="72" t="s">
        <v>176</v>
      </c>
      <c r="F7" s="1" t="s">
        <v>177</v>
      </c>
      <c r="G7" s="2">
        <v>440</v>
      </c>
      <c r="H7" s="62"/>
      <c r="I7" s="2">
        <v>60</v>
      </c>
      <c r="J7" s="2">
        <f t="shared" si="0"/>
        <v>7.38</v>
      </c>
      <c r="K7" s="62"/>
    </row>
    <row r="8" spans="2:11" ht="84.75" customHeight="1">
      <c r="B8" s="2">
        <v>5</v>
      </c>
      <c r="C8" s="73" t="s">
        <v>210</v>
      </c>
      <c r="D8" s="1" t="s">
        <v>166</v>
      </c>
      <c r="E8" s="72" t="s">
        <v>211</v>
      </c>
      <c r="F8" s="1" t="s">
        <v>212</v>
      </c>
      <c r="G8" s="2">
        <v>435</v>
      </c>
      <c r="H8" s="62"/>
      <c r="I8" s="2">
        <v>854</v>
      </c>
      <c r="J8" s="2">
        <f>I8*$D$18/1000</f>
        <v>105.042</v>
      </c>
      <c r="K8" s="62"/>
    </row>
    <row r="9" spans="2:11" ht="84.75" customHeight="1">
      <c r="B9" s="2">
        <v>6</v>
      </c>
      <c r="C9" s="73" t="s">
        <v>216</v>
      </c>
      <c r="D9" s="1" t="s">
        <v>162</v>
      </c>
      <c r="E9" s="72" t="s">
        <v>217</v>
      </c>
      <c r="F9" s="1" t="s">
        <v>218</v>
      </c>
      <c r="G9" s="2">
        <v>967</v>
      </c>
      <c r="H9" s="62"/>
      <c r="I9" s="2">
        <v>59</v>
      </c>
      <c r="J9" s="2">
        <f t="shared" si="0"/>
        <v>7.2569999999999997</v>
      </c>
      <c r="K9" s="62"/>
    </row>
    <row r="10" spans="2:11" ht="84.75" customHeight="1">
      <c r="B10" s="2">
        <v>7</v>
      </c>
      <c r="C10" s="73" t="s">
        <v>219</v>
      </c>
      <c r="D10" s="74" t="s">
        <v>25</v>
      </c>
      <c r="E10" s="72" t="s">
        <v>231</v>
      </c>
      <c r="F10" s="1" t="s">
        <v>232</v>
      </c>
      <c r="G10" s="2">
        <v>1100</v>
      </c>
      <c r="H10" s="62"/>
      <c r="I10" s="2">
        <v>26</v>
      </c>
      <c r="J10" s="2">
        <f t="shared" si="0"/>
        <v>3.198</v>
      </c>
      <c r="K10" s="62"/>
    </row>
    <row r="11" spans="2:11" ht="84.75" customHeight="1">
      <c r="B11" s="2"/>
      <c r="C11" s="73"/>
      <c r="D11" s="1"/>
      <c r="E11" s="72"/>
      <c r="F11" s="1"/>
      <c r="G11" s="2"/>
      <c r="H11" s="62"/>
      <c r="I11" s="2"/>
      <c r="J11" s="2"/>
      <c r="K11" s="62"/>
    </row>
    <row r="12" spans="2:11">
      <c r="B12" s="213" t="s">
        <v>263</v>
      </c>
      <c r="C12" s="214"/>
      <c r="D12" s="214"/>
      <c r="E12" s="214"/>
      <c r="F12" s="214"/>
      <c r="G12" s="214"/>
      <c r="H12" s="214"/>
      <c r="I12" s="215"/>
      <c r="J12" s="120">
        <f>SUM(J4:J10)</f>
        <v>168.38700000000003</v>
      </c>
      <c r="K12" s="62"/>
    </row>
    <row r="13" spans="2:11">
      <c r="B13" s="2"/>
      <c r="C13" s="62"/>
      <c r="D13" s="2"/>
      <c r="E13" s="70"/>
      <c r="F13" s="70"/>
      <c r="G13" s="62"/>
      <c r="H13" s="62"/>
      <c r="I13" s="62"/>
      <c r="J13" s="2"/>
      <c r="K13" s="62"/>
    </row>
    <row r="16" spans="2:11">
      <c r="C16"/>
    </row>
    <row r="17" spans="3:7">
      <c r="F17" s="71" t="s">
        <v>278</v>
      </c>
      <c r="G17" s="3" t="s">
        <v>910</v>
      </c>
    </row>
    <row r="18" spans="3:7">
      <c r="C18" s="3" t="s">
        <v>733</v>
      </c>
      <c r="D18" s="67">
        <v>123</v>
      </c>
      <c r="F18" s="71" t="s">
        <v>282</v>
      </c>
      <c r="G18" s="3">
        <v>2</v>
      </c>
    </row>
    <row r="19" spans="3:7">
      <c r="C19" s="3" t="s">
        <v>751</v>
      </c>
      <c r="D19" s="67">
        <v>1000</v>
      </c>
      <c r="F19" s="71" t="s">
        <v>269</v>
      </c>
      <c r="G19" s="3">
        <v>2</v>
      </c>
    </row>
    <row r="20" spans="3:7">
      <c r="F20" s="71" t="s">
        <v>281</v>
      </c>
      <c r="G20" s="3">
        <v>2</v>
      </c>
    </row>
    <row r="21" spans="3:7">
      <c r="F21" s="71" t="s">
        <v>276</v>
      </c>
      <c r="G21" s="3">
        <v>1</v>
      </c>
    </row>
    <row r="22" spans="3:7">
      <c r="F22" s="71" t="s">
        <v>272</v>
      </c>
      <c r="G22" s="3">
        <v>0</v>
      </c>
    </row>
  </sheetData>
  <mergeCells count="1">
    <mergeCell ref="B12:I12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2EF380-0DC2-4779-AB84-9FBA0D585E7E}">
  <dimension ref="B3:P37"/>
  <sheetViews>
    <sheetView topLeftCell="B18" workbookViewId="0">
      <selection activeCell="E47" sqref="E47"/>
    </sheetView>
  </sheetViews>
  <sheetFormatPr defaultRowHeight="14.25"/>
  <cols>
    <col min="1" max="1" width="9.06640625" style="3"/>
    <col min="2" max="2" width="4.3984375" style="3" customWidth="1"/>
    <col min="3" max="3" width="19.6640625" style="3" customWidth="1"/>
    <col min="4" max="4" width="4.6640625" style="67" customWidth="1"/>
    <col min="5" max="5" width="25.53125" style="71" customWidth="1"/>
    <col min="6" max="6" width="14.46484375" style="71" customWidth="1"/>
    <col min="7" max="7" width="12.1328125" style="3" customWidth="1"/>
    <col min="8" max="8" width="20.1328125" style="3" customWidth="1"/>
    <col min="9" max="9" width="10.19921875" style="3" customWidth="1"/>
    <col min="10" max="10" width="12.6640625" style="3" customWidth="1"/>
    <col min="11" max="11" width="11.796875" style="3" customWidth="1"/>
    <col min="12" max="12" width="14.1328125" style="3" customWidth="1"/>
    <col min="13" max="13" width="11.53125" style="3" customWidth="1"/>
    <col min="14" max="14" width="10.1328125" style="3" customWidth="1"/>
    <col min="15" max="15" width="17.46484375" style="67" customWidth="1"/>
    <col min="16" max="16" width="17.265625" style="3" customWidth="1"/>
    <col min="17" max="16384" width="9.06640625" style="3"/>
  </cols>
  <sheetData>
    <row r="3" spans="2:16" ht="42.75">
      <c r="B3" s="77" t="s">
        <v>7</v>
      </c>
      <c r="C3" s="77" t="s">
        <v>233</v>
      </c>
      <c r="D3" s="77" t="s">
        <v>234</v>
      </c>
      <c r="E3" s="77" t="s">
        <v>137</v>
      </c>
      <c r="F3" s="77" t="s">
        <v>146</v>
      </c>
      <c r="G3" s="77" t="s">
        <v>145</v>
      </c>
      <c r="H3" s="77" t="s">
        <v>138</v>
      </c>
      <c r="I3" s="77" t="s">
        <v>237</v>
      </c>
      <c r="J3" s="77" t="s">
        <v>735</v>
      </c>
      <c r="K3" s="77" t="s">
        <v>736</v>
      </c>
      <c r="L3" s="77" t="s">
        <v>737</v>
      </c>
      <c r="M3" s="77" t="s">
        <v>749</v>
      </c>
      <c r="N3" s="77" t="s">
        <v>750</v>
      </c>
      <c r="O3" s="77" t="s">
        <v>748</v>
      </c>
      <c r="P3" s="77" t="s">
        <v>63</v>
      </c>
    </row>
    <row r="4" spans="2:16" ht="84.75" customHeight="1">
      <c r="B4" s="2">
        <v>1</v>
      </c>
      <c r="C4" s="73" t="s">
        <v>235</v>
      </c>
      <c r="D4" s="74" t="s">
        <v>25</v>
      </c>
      <c r="E4" s="72" t="s">
        <v>236</v>
      </c>
      <c r="F4" s="74" t="s">
        <v>242</v>
      </c>
      <c r="G4" s="2">
        <v>137</v>
      </c>
      <c r="H4" s="62"/>
      <c r="I4" s="2" t="s">
        <v>238</v>
      </c>
      <c r="J4" s="2">
        <v>80</v>
      </c>
      <c r="K4" s="2">
        <v>100</v>
      </c>
      <c r="L4" s="2" t="s">
        <v>239</v>
      </c>
      <c r="M4" s="2">
        <f t="shared" ref="M4:N6" si="0">J4*$D$33/1000</f>
        <v>2.4E-2</v>
      </c>
      <c r="N4" s="2">
        <f t="shared" si="0"/>
        <v>0.03</v>
      </c>
      <c r="O4" s="2">
        <f>AVERAGE(M4:N4)</f>
        <v>2.7E-2</v>
      </c>
      <c r="P4" s="2" t="s">
        <v>440</v>
      </c>
    </row>
    <row r="5" spans="2:16" ht="84.75" customHeight="1">
      <c r="B5" s="2">
        <v>2</v>
      </c>
      <c r="C5" s="73" t="s">
        <v>240</v>
      </c>
      <c r="D5" s="74" t="s">
        <v>25</v>
      </c>
      <c r="E5" s="72" t="s">
        <v>241</v>
      </c>
      <c r="F5" s="74" t="s">
        <v>243</v>
      </c>
      <c r="G5" s="2">
        <v>12</v>
      </c>
      <c r="H5" s="62"/>
      <c r="I5" s="2" t="s">
        <v>244</v>
      </c>
      <c r="J5" s="2">
        <v>40</v>
      </c>
      <c r="K5" s="2">
        <v>50</v>
      </c>
      <c r="L5" s="2" t="s">
        <v>245</v>
      </c>
      <c r="M5" s="2">
        <f t="shared" si="0"/>
        <v>1.2E-2</v>
      </c>
      <c r="N5" s="2">
        <f t="shared" si="0"/>
        <v>1.4999999999999999E-2</v>
      </c>
      <c r="O5" s="2">
        <f>AVERAGE(M5:N5)</f>
        <v>1.35E-2</v>
      </c>
      <c r="P5" s="2" t="s">
        <v>440</v>
      </c>
    </row>
    <row r="6" spans="2:16" ht="84.75" customHeight="1">
      <c r="B6" s="2">
        <v>3</v>
      </c>
      <c r="C6" s="73" t="s">
        <v>246</v>
      </c>
      <c r="D6" s="74" t="s">
        <v>25</v>
      </c>
      <c r="E6" s="72" t="s">
        <v>248</v>
      </c>
      <c r="F6" s="74" t="s">
        <v>249</v>
      </c>
      <c r="G6" s="2">
        <v>150</v>
      </c>
      <c r="H6" s="62"/>
      <c r="I6" s="75" t="s">
        <v>252</v>
      </c>
      <c r="J6" s="117">
        <v>10</v>
      </c>
      <c r="K6" s="117">
        <v>20</v>
      </c>
      <c r="L6" s="2" t="s">
        <v>247</v>
      </c>
      <c r="M6" s="2">
        <f t="shared" si="0"/>
        <v>3.0000000000000001E-3</v>
      </c>
      <c r="N6" s="2">
        <f t="shared" si="0"/>
        <v>6.0000000000000001E-3</v>
      </c>
      <c r="O6" s="2">
        <f>AVERAGE(M6:N6)</f>
        <v>4.5000000000000005E-3</v>
      </c>
      <c r="P6" s="2" t="s">
        <v>821</v>
      </c>
    </row>
    <row r="7" spans="2:16" ht="84.75" customHeight="1">
      <c r="B7" s="2">
        <v>4</v>
      </c>
      <c r="C7" s="73" t="s">
        <v>250</v>
      </c>
      <c r="D7" s="74" t="s">
        <v>25</v>
      </c>
      <c r="E7" s="72" t="s">
        <v>251</v>
      </c>
      <c r="F7" s="74" t="s">
        <v>25</v>
      </c>
      <c r="G7" s="2">
        <v>124</v>
      </c>
      <c r="H7" s="62"/>
      <c r="I7" s="2">
        <v>50</v>
      </c>
      <c r="J7" s="116"/>
      <c r="K7" s="116"/>
      <c r="L7" s="2">
        <v>1500</v>
      </c>
      <c r="M7" s="2"/>
      <c r="N7" s="2"/>
      <c r="O7" s="2">
        <f>I7*$D$33/1000</f>
        <v>1.4999999999999999E-2</v>
      </c>
      <c r="P7" s="2" t="s">
        <v>821</v>
      </c>
    </row>
    <row r="8" spans="2:16" ht="84.75" customHeight="1">
      <c r="B8" s="2">
        <v>5</v>
      </c>
      <c r="C8" s="73" t="s">
        <v>253</v>
      </c>
      <c r="D8" s="74" t="s">
        <v>25</v>
      </c>
      <c r="E8" s="72" t="s">
        <v>254</v>
      </c>
      <c r="F8" s="74" t="s">
        <v>255</v>
      </c>
      <c r="G8" s="2">
        <v>50</v>
      </c>
      <c r="H8" s="62"/>
      <c r="I8" s="75" t="s">
        <v>257</v>
      </c>
      <c r="J8" s="117">
        <v>8</v>
      </c>
      <c r="K8" s="117">
        <v>20</v>
      </c>
      <c r="L8" s="2" t="s">
        <v>256</v>
      </c>
      <c r="M8" s="116">
        <f t="shared" ref="M8:N11" si="1">J8*$D$33/1000</f>
        <v>2.3999999999999998E-3</v>
      </c>
      <c r="N8" s="116">
        <f t="shared" si="1"/>
        <v>6.0000000000000001E-3</v>
      </c>
      <c r="O8" s="116">
        <f>AVERAGE(M8:N8)</f>
        <v>4.1999999999999997E-3</v>
      </c>
      <c r="P8" s="2" t="s">
        <v>821</v>
      </c>
    </row>
    <row r="9" spans="2:16" ht="84.75" customHeight="1">
      <c r="B9" s="2">
        <v>6</v>
      </c>
      <c r="C9" s="73" t="s">
        <v>258</v>
      </c>
      <c r="D9" s="74" t="s">
        <v>25</v>
      </c>
      <c r="E9" s="72" t="s">
        <v>259</v>
      </c>
      <c r="F9" s="74" t="s">
        <v>25</v>
      </c>
      <c r="G9" s="2">
        <v>21</v>
      </c>
      <c r="H9" s="62"/>
      <c r="I9" s="76" t="s">
        <v>260</v>
      </c>
      <c r="J9" s="117" t="s">
        <v>738</v>
      </c>
      <c r="K9" s="117" t="s">
        <v>740</v>
      </c>
      <c r="L9" s="2" t="s">
        <v>261</v>
      </c>
      <c r="M9" s="116">
        <f t="shared" si="1"/>
        <v>1.4999999999999999E-2</v>
      </c>
      <c r="N9" s="116">
        <f t="shared" si="1"/>
        <v>1.7999999999999999E-2</v>
      </c>
      <c r="O9" s="116">
        <f>AVERAGE(M9:N9)</f>
        <v>1.6500000000000001E-2</v>
      </c>
      <c r="P9" s="2" t="s">
        <v>821</v>
      </c>
    </row>
    <row r="10" spans="2:16" ht="84.75" customHeight="1">
      <c r="B10" s="2">
        <v>7</v>
      </c>
      <c r="C10" s="73" t="s">
        <v>681</v>
      </c>
      <c r="D10" s="74" t="s">
        <v>25</v>
      </c>
      <c r="E10" s="72" t="s">
        <v>682</v>
      </c>
      <c r="F10" s="74" t="s">
        <v>689</v>
      </c>
      <c r="G10" s="2">
        <v>428</v>
      </c>
      <c r="H10" s="62"/>
      <c r="I10" s="2" t="s">
        <v>260</v>
      </c>
      <c r="J10" s="116" t="s">
        <v>742</v>
      </c>
      <c r="K10" s="116" t="s">
        <v>740</v>
      </c>
      <c r="L10" s="2" t="s">
        <v>261</v>
      </c>
      <c r="M10" s="116">
        <f t="shared" si="1"/>
        <v>1.4999999999999999E-2</v>
      </c>
      <c r="N10" s="116">
        <f t="shared" si="1"/>
        <v>1.7999999999999999E-2</v>
      </c>
      <c r="O10" s="116">
        <f>AVERAGE(M10:N10)</f>
        <v>1.6500000000000001E-2</v>
      </c>
      <c r="P10" s="2" t="s">
        <v>821</v>
      </c>
    </row>
    <row r="11" spans="2:16" ht="84.75" customHeight="1">
      <c r="B11" s="2">
        <v>8</v>
      </c>
      <c r="C11" s="73" t="s">
        <v>683</v>
      </c>
      <c r="D11" s="74" t="s">
        <v>25</v>
      </c>
      <c r="E11" s="72" t="s">
        <v>684</v>
      </c>
      <c r="F11" s="74" t="s">
        <v>690</v>
      </c>
      <c r="G11" s="2">
        <v>990</v>
      </c>
      <c r="H11" s="62"/>
      <c r="I11" s="2" t="s">
        <v>685</v>
      </c>
      <c r="J11" s="116" t="s">
        <v>739</v>
      </c>
      <c r="K11" s="116" t="s">
        <v>743</v>
      </c>
      <c r="L11" s="2" t="s">
        <v>686</v>
      </c>
      <c r="M11" s="116">
        <f t="shared" si="1"/>
        <v>2.7E-2</v>
      </c>
      <c r="N11" s="116">
        <f t="shared" si="1"/>
        <v>0.03</v>
      </c>
      <c r="O11" s="116">
        <f>AVERAGE(M11:N11)</f>
        <v>2.8499999999999998E-2</v>
      </c>
      <c r="P11" s="2" t="s">
        <v>822</v>
      </c>
    </row>
    <row r="12" spans="2:16" ht="84.75" customHeight="1">
      <c r="B12" s="2">
        <v>9</v>
      </c>
      <c r="C12" s="73" t="s">
        <v>687</v>
      </c>
      <c r="D12" s="74" t="s">
        <v>25</v>
      </c>
      <c r="E12" s="72" t="s">
        <v>688</v>
      </c>
      <c r="F12" s="74" t="s">
        <v>691</v>
      </c>
      <c r="G12" s="2">
        <v>633</v>
      </c>
      <c r="H12" s="62"/>
      <c r="I12" s="2">
        <v>100</v>
      </c>
      <c r="J12" s="116"/>
      <c r="K12" s="116"/>
      <c r="L12" s="2">
        <v>3000</v>
      </c>
      <c r="M12" s="2"/>
      <c r="N12" s="2"/>
      <c r="O12" s="2">
        <f>I12*$D$33/1000</f>
        <v>0.03</v>
      </c>
      <c r="P12" s="2" t="s">
        <v>822</v>
      </c>
    </row>
    <row r="13" spans="2:16" ht="84.75" customHeight="1">
      <c r="B13" s="2">
        <v>10</v>
      </c>
      <c r="C13" s="73" t="s">
        <v>692</v>
      </c>
      <c r="D13" s="74" t="s">
        <v>25</v>
      </c>
      <c r="E13" s="72" t="s">
        <v>693</v>
      </c>
      <c r="F13" s="74" t="s">
        <v>694</v>
      </c>
      <c r="G13" s="2">
        <v>900</v>
      </c>
      <c r="H13" s="62"/>
      <c r="I13" s="2">
        <v>90</v>
      </c>
      <c r="J13" s="116"/>
      <c r="K13" s="116"/>
      <c r="L13" s="2">
        <v>2700</v>
      </c>
      <c r="M13" s="2"/>
      <c r="N13" s="2"/>
      <c r="O13" s="2">
        <f>I13*$D$33/1000</f>
        <v>2.7E-2</v>
      </c>
      <c r="P13" s="2" t="s">
        <v>822</v>
      </c>
    </row>
    <row r="14" spans="2:16" ht="84.75" customHeight="1">
      <c r="B14" s="2">
        <v>11</v>
      </c>
      <c r="C14" s="73" t="s">
        <v>695</v>
      </c>
      <c r="D14" s="74" t="s">
        <v>25</v>
      </c>
      <c r="E14" s="72" t="s">
        <v>696</v>
      </c>
      <c r="F14" s="74" t="s">
        <v>697</v>
      </c>
      <c r="G14" s="2">
        <v>750</v>
      </c>
      <c r="H14" s="62"/>
      <c r="I14" s="2" t="s">
        <v>238</v>
      </c>
      <c r="J14" s="116" t="s">
        <v>741</v>
      </c>
      <c r="K14" s="116" t="s">
        <v>743</v>
      </c>
      <c r="L14" s="2" t="s">
        <v>239</v>
      </c>
      <c r="M14" s="116">
        <f t="shared" ref="M14:N17" si="2">J14*$D$33/1000</f>
        <v>2.4E-2</v>
      </c>
      <c r="N14" s="116">
        <f t="shared" si="2"/>
        <v>0.03</v>
      </c>
      <c r="O14" s="116">
        <f>AVERAGE(M14:N14)</f>
        <v>2.7E-2</v>
      </c>
      <c r="P14" s="2" t="s">
        <v>822</v>
      </c>
    </row>
    <row r="15" spans="2:16" ht="84.75" customHeight="1">
      <c r="B15" s="2">
        <v>12</v>
      </c>
      <c r="C15" s="73" t="s">
        <v>698</v>
      </c>
      <c r="D15" s="74" t="s">
        <v>25</v>
      </c>
      <c r="E15" s="72" t="s">
        <v>699</v>
      </c>
      <c r="F15" s="74" t="s">
        <v>700</v>
      </c>
      <c r="G15" s="2">
        <v>990</v>
      </c>
      <c r="H15" s="62"/>
      <c r="I15" s="2" t="s">
        <v>701</v>
      </c>
      <c r="J15" s="116" t="s">
        <v>742</v>
      </c>
      <c r="K15" s="116" t="s">
        <v>744</v>
      </c>
      <c r="L15" s="2" t="s">
        <v>702</v>
      </c>
      <c r="M15" s="116">
        <f t="shared" si="2"/>
        <v>1.4999999999999999E-2</v>
      </c>
      <c r="N15" s="116">
        <f t="shared" si="2"/>
        <v>2.1000000000000001E-2</v>
      </c>
      <c r="O15" s="116">
        <f>AVERAGE(M15:N15)</f>
        <v>1.8000000000000002E-2</v>
      </c>
      <c r="P15" s="2" t="s">
        <v>822</v>
      </c>
    </row>
    <row r="16" spans="2:16" ht="84.75" customHeight="1">
      <c r="B16" s="2">
        <v>13</v>
      </c>
      <c r="C16" s="73" t="s">
        <v>703</v>
      </c>
      <c r="D16" s="74" t="s">
        <v>25</v>
      </c>
      <c r="E16" s="72" t="s">
        <v>704</v>
      </c>
      <c r="F16" s="74" t="s">
        <v>705</v>
      </c>
      <c r="G16" s="2">
        <v>435</v>
      </c>
      <c r="H16" s="62"/>
      <c r="I16" s="2" t="s">
        <v>706</v>
      </c>
      <c r="J16" s="116" t="s">
        <v>740</v>
      </c>
      <c r="K16" s="116" t="s">
        <v>741</v>
      </c>
      <c r="L16" s="2" t="s">
        <v>707</v>
      </c>
      <c r="M16" s="116">
        <f t="shared" si="2"/>
        <v>1.7999999999999999E-2</v>
      </c>
      <c r="N16" s="116">
        <f t="shared" si="2"/>
        <v>2.4E-2</v>
      </c>
      <c r="O16" s="116">
        <f>AVERAGE(M16:N16)</f>
        <v>2.0999999999999998E-2</v>
      </c>
      <c r="P16" s="2" t="s">
        <v>821</v>
      </c>
    </row>
    <row r="17" spans="2:16" ht="84.75" customHeight="1">
      <c r="B17" s="2">
        <v>14</v>
      </c>
      <c r="C17" s="73" t="s">
        <v>246</v>
      </c>
      <c r="D17" s="74" t="s">
        <v>25</v>
      </c>
      <c r="E17" s="72" t="s">
        <v>708</v>
      </c>
      <c r="F17" s="74" t="s">
        <v>249</v>
      </c>
      <c r="G17" s="2">
        <v>40</v>
      </c>
      <c r="H17" s="62"/>
      <c r="I17" s="116" t="s">
        <v>709</v>
      </c>
      <c r="J17" s="116" t="s">
        <v>745</v>
      </c>
      <c r="K17" s="116" t="s">
        <v>746</v>
      </c>
      <c r="L17" s="2" t="s">
        <v>710</v>
      </c>
      <c r="M17" s="116">
        <f t="shared" si="2"/>
        <v>3.0000000000000001E-3</v>
      </c>
      <c r="N17" s="116">
        <f t="shared" si="2"/>
        <v>8.9999999999999993E-3</v>
      </c>
      <c r="O17" s="116">
        <f>AVERAGE(M17:N17)</f>
        <v>6.0000000000000001E-3</v>
      </c>
      <c r="P17" s="2" t="s">
        <v>821</v>
      </c>
    </row>
    <row r="18" spans="2:16" ht="84.75" customHeight="1">
      <c r="B18" s="2">
        <v>15</v>
      </c>
      <c r="C18" s="73" t="s">
        <v>711</v>
      </c>
      <c r="D18" s="74" t="s">
        <v>25</v>
      </c>
      <c r="E18" s="72" t="s">
        <v>708</v>
      </c>
      <c r="F18" s="74" t="s">
        <v>712</v>
      </c>
      <c r="G18" s="2">
        <v>25</v>
      </c>
      <c r="H18" s="62"/>
      <c r="I18" s="2">
        <v>15</v>
      </c>
      <c r="J18" s="116"/>
      <c r="K18" s="116"/>
      <c r="L18" s="2">
        <v>450</v>
      </c>
      <c r="M18" s="2"/>
      <c r="N18" s="2"/>
      <c r="O18" s="2">
        <f>I18*$D$33/1000</f>
        <v>4.4999999999999997E-3</v>
      </c>
      <c r="P18" s="2" t="s">
        <v>821</v>
      </c>
    </row>
    <row r="19" spans="2:16" ht="84.75" customHeight="1">
      <c r="B19" s="2">
        <v>16</v>
      </c>
      <c r="C19" s="73" t="s">
        <v>713</v>
      </c>
      <c r="D19" s="74" t="s">
        <v>25</v>
      </c>
      <c r="E19" s="72" t="s">
        <v>714</v>
      </c>
      <c r="F19" s="74" t="s">
        <v>25</v>
      </c>
      <c r="G19" s="2">
        <v>380</v>
      </c>
      <c r="H19" s="62"/>
      <c r="I19" s="2" t="s">
        <v>715</v>
      </c>
      <c r="J19" s="116" t="s">
        <v>747</v>
      </c>
      <c r="K19" s="116" t="s">
        <v>740</v>
      </c>
      <c r="L19" s="2" t="s">
        <v>716</v>
      </c>
      <c r="M19" s="116">
        <f>J19*$D$33/1000</f>
        <v>1.2E-2</v>
      </c>
      <c r="N19" s="116">
        <f>K19*$D$33/1000</f>
        <v>1.7999999999999999E-2</v>
      </c>
      <c r="O19" s="116">
        <f>AVERAGE(M19:N19)</f>
        <v>1.4999999999999999E-2</v>
      </c>
      <c r="P19" s="2" t="s">
        <v>440</v>
      </c>
    </row>
    <row r="20" spans="2:16" ht="84.75" customHeight="1">
      <c r="B20" s="2">
        <v>17</v>
      </c>
      <c r="C20" s="73" t="s">
        <v>717</v>
      </c>
      <c r="D20" s="74" t="s">
        <v>25</v>
      </c>
      <c r="E20" s="72" t="s">
        <v>718</v>
      </c>
      <c r="F20" s="74" t="s">
        <v>25</v>
      </c>
      <c r="G20" s="2">
        <v>280</v>
      </c>
      <c r="H20" s="62"/>
      <c r="I20" s="2" t="s">
        <v>719</v>
      </c>
      <c r="J20" s="116" t="s">
        <v>740</v>
      </c>
      <c r="K20" s="116" t="s">
        <v>743</v>
      </c>
      <c r="L20" s="2" t="s">
        <v>720</v>
      </c>
      <c r="M20" s="116">
        <f>J20*$D$33/1000</f>
        <v>1.7999999999999999E-2</v>
      </c>
      <c r="N20" s="116">
        <f>K20*$D$33/1000</f>
        <v>0.03</v>
      </c>
      <c r="O20" s="116">
        <f>AVERAGE(M20:N20)</f>
        <v>2.4E-2</v>
      </c>
      <c r="P20" s="2" t="s">
        <v>440</v>
      </c>
    </row>
    <row r="21" spans="2:16" ht="84.75" customHeight="1">
      <c r="B21" s="2">
        <v>18</v>
      </c>
      <c r="C21" s="73" t="s">
        <v>721</v>
      </c>
      <c r="D21" s="74" t="s">
        <v>25</v>
      </c>
      <c r="E21" s="72" t="s">
        <v>722</v>
      </c>
      <c r="F21" s="74" t="s">
        <v>723</v>
      </c>
      <c r="G21" s="2">
        <v>860</v>
      </c>
      <c r="H21" s="62"/>
      <c r="I21" s="2">
        <v>10</v>
      </c>
      <c r="J21" s="116"/>
      <c r="K21" s="116"/>
      <c r="L21" s="2">
        <v>300</v>
      </c>
      <c r="M21" s="2"/>
      <c r="N21" s="2"/>
      <c r="O21" s="2">
        <f>I21*$D$33/1000</f>
        <v>3.0000000000000001E-3</v>
      </c>
      <c r="P21" s="2" t="s">
        <v>821</v>
      </c>
    </row>
    <row r="22" spans="2:16" ht="84.75" customHeight="1">
      <c r="B22" s="2">
        <v>19</v>
      </c>
      <c r="C22" s="73" t="s">
        <v>724</v>
      </c>
      <c r="D22" s="74" t="s">
        <v>25</v>
      </c>
      <c r="E22" s="72" t="s">
        <v>725</v>
      </c>
      <c r="F22" s="74" t="s">
        <v>726</v>
      </c>
      <c r="G22" s="2">
        <v>110</v>
      </c>
      <c r="H22" s="62"/>
      <c r="I22" s="2">
        <v>30</v>
      </c>
      <c r="J22" s="116"/>
      <c r="K22" s="116"/>
      <c r="L22" s="2">
        <v>900</v>
      </c>
      <c r="M22" s="2"/>
      <c r="N22" s="2"/>
      <c r="O22" s="2">
        <f>I22*$D$33/1000</f>
        <v>8.9999999999999993E-3</v>
      </c>
      <c r="P22" s="2" t="s">
        <v>440</v>
      </c>
    </row>
    <row r="23" spans="2:16" ht="84.75" customHeight="1">
      <c r="B23" s="2">
        <v>20</v>
      </c>
      <c r="C23" s="73" t="s">
        <v>727</v>
      </c>
      <c r="D23" s="74" t="s">
        <v>25</v>
      </c>
      <c r="E23" s="72" t="s">
        <v>728</v>
      </c>
      <c r="F23" s="74" t="s">
        <v>729</v>
      </c>
      <c r="G23" s="2">
        <v>160</v>
      </c>
      <c r="H23" s="62"/>
      <c r="I23" s="2">
        <v>100</v>
      </c>
      <c r="J23" s="116"/>
      <c r="K23" s="116"/>
      <c r="L23" s="2">
        <v>1500</v>
      </c>
      <c r="M23" s="2"/>
      <c r="N23" s="2"/>
      <c r="O23" s="2">
        <f>I23*$D$33/1000</f>
        <v>0.03</v>
      </c>
      <c r="P23" s="2" t="s">
        <v>822</v>
      </c>
    </row>
    <row r="24" spans="2:16" ht="84.75" customHeight="1">
      <c r="B24" s="2">
        <v>21</v>
      </c>
      <c r="C24" s="73" t="s">
        <v>730</v>
      </c>
      <c r="D24" s="74" t="s">
        <v>25</v>
      </c>
      <c r="E24" s="72" t="s">
        <v>731</v>
      </c>
      <c r="F24" s="74" t="s">
        <v>732</v>
      </c>
      <c r="G24" s="2">
        <v>450</v>
      </c>
      <c r="H24" s="62"/>
      <c r="I24" s="2">
        <v>80</v>
      </c>
      <c r="J24" s="116"/>
      <c r="K24" s="116"/>
      <c r="L24" s="2">
        <v>1500</v>
      </c>
      <c r="M24" s="2"/>
      <c r="N24" s="2"/>
      <c r="O24" s="2">
        <f>I24*$D$33/1000</f>
        <v>2.4E-2</v>
      </c>
      <c r="P24" s="2" t="s">
        <v>822</v>
      </c>
    </row>
    <row r="25" spans="2:16" ht="84.75" customHeight="1">
      <c r="B25" s="2"/>
      <c r="C25" s="73"/>
      <c r="D25" s="1"/>
      <c r="E25" s="72"/>
      <c r="F25" s="1"/>
      <c r="G25" s="2"/>
      <c r="H25" s="62"/>
      <c r="I25" s="2"/>
      <c r="J25" s="2"/>
      <c r="K25" s="2"/>
      <c r="L25" s="2"/>
      <c r="M25" s="2"/>
      <c r="N25" s="2"/>
      <c r="O25" s="2"/>
      <c r="P25" s="2"/>
    </row>
    <row r="26" spans="2:16">
      <c r="B26" s="213" t="s">
        <v>263</v>
      </c>
      <c r="C26" s="214"/>
      <c r="D26" s="214"/>
      <c r="E26" s="214"/>
      <c r="F26" s="214"/>
      <c r="G26" s="214"/>
      <c r="H26" s="214"/>
      <c r="I26" s="214"/>
      <c r="J26" s="214"/>
      <c r="K26" s="214"/>
      <c r="L26" s="214"/>
      <c r="M26" s="214"/>
      <c r="N26" s="215"/>
      <c r="O26" s="120">
        <f>SUM(O4:O24)</f>
        <v>0.36419999999999997</v>
      </c>
      <c r="P26" s="62"/>
    </row>
    <row r="27" spans="2:16">
      <c r="B27" s="2"/>
      <c r="C27" s="62"/>
      <c r="D27" s="2"/>
      <c r="E27" s="70"/>
      <c r="F27" s="70"/>
      <c r="G27" s="62"/>
      <c r="H27" s="62"/>
      <c r="I27" s="62"/>
      <c r="J27" s="62"/>
      <c r="K27" s="62"/>
      <c r="L27" s="62"/>
      <c r="M27" s="62"/>
      <c r="N27" s="62"/>
      <c r="O27" s="2"/>
      <c r="P27" s="62"/>
    </row>
    <row r="31" spans="2:16">
      <c r="C31"/>
    </row>
    <row r="32" spans="2:16">
      <c r="H32" s="3" t="s">
        <v>278</v>
      </c>
      <c r="I32" s="3" t="s">
        <v>911</v>
      </c>
    </row>
    <row r="33" spans="3:9">
      <c r="C33" s="3" t="s">
        <v>733</v>
      </c>
      <c r="D33" s="67">
        <v>0.3</v>
      </c>
      <c r="H33" s="3" t="s">
        <v>282</v>
      </c>
      <c r="I33" s="3">
        <v>2</v>
      </c>
    </row>
    <row r="34" spans="3:9">
      <c r="C34" s="3" t="s">
        <v>734</v>
      </c>
      <c r="D34" s="67">
        <v>1000</v>
      </c>
      <c r="H34" s="3" t="s">
        <v>269</v>
      </c>
      <c r="I34" s="3">
        <v>6</v>
      </c>
    </row>
    <row r="35" spans="3:9">
      <c r="H35" s="3" t="s">
        <v>281</v>
      </c>
      <c r="I35" s="3">
        <v>3</v>
      </c>
    </row>
    <row r="36" spans="3:9">
      <c r="H36" s="3" t="s">
        <v>276</v>
      </c>
      <c r="I36" s="3">
        <v>8</v>
      </c>
    </row>
    <row r="37" spans="3:9">
      <c r="H37" s="3" t="s">
        <v>272</v>
      </c>
      <c r="I37" s="3">
        <v>2</v>
      </c>
    </row>
  </sheetData>
  <mergeCells count="1">
    <mergeCell ref="B26:N26"/>
  </mergeCells>
  <pageMargins left="0.7" right="0.7" top="0.75" bottom="0.75" header="0.3" footer="0.3"/>
  <pageSetup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4EA9E4-0C32-480A-AE7A-E320FBBB94F0}">
  <dimension ref="B3:L33"/>
  <sheetViews>
    <sheetView topLeftCell="E12" workbookViewId="0">
      <selection activeCell="C24" sqref="C24:D33"/>
    </sheetView>
  </sheetViews>
  <sheetFormatPr defaultRowHeight="14.25"/>
  <cols>
    <col min="1" max="1" width="9.06640625" style="3"/>
    <col min="2" max="2" width="4.3984375" style="3" customWidth="1"/>
    <col min="3" max="3" width="19.6640625" style="3" customWidth="1"/>
    <col min="4" max="4" width="10.265625" style="67" customWidth="1"/>
    <col min="5" max="6" width="25.53125" style="71" customWidth="1"/>
    <col min="7" max="7" width="20.33203125" style="3" bestFit="1" customWidth="1"/>
    <col min="8" max="8" width="20.1328125" style="3" customWidth="1"/>
    <col min="9" max="10" width="17.3984375" style="3" bestFit="1" customWidth="1"/>
    <col min="11" max="11" width="23.3984375" style="67" customWidth="1"/>
    <col min="12" max="12" width="17.265625" style="3" customWidth="1"/>
    <col min="13" max="16384" width="9.06640625" style="3"/>
  </cols>
  <sheetData>
    <row r="3" spans="2:12">
      <c r="B3" s="64" t="s">
        <v>7</v>
      </c>
      <c r="C3" s="63" t="s">
        <v>233</v>
      </c>
      <c r="D3" s="64" t="s">
        <v>234</v>
      </c>
      <c r="E3" s="64" t="s">
        <v>137</v>
      </c>
      <c r="F3" s="64" t="s">
        <v>146</v>
      </c>
      <c r="G3" s="63" t="s">
        <v>145</v>
      </c>
      <c r="H3" s="63" t="s">
        <v>138</v>
      </c>
      <c r="I3" s="63" t="s">
        <v>262</v>
      </c>
      <c r="J3" s="63" t="s">
        <v>263</v>
      </c>
      <c r="K3" s="64" t="s">
        <v>140</v>
      </c>
      <c r="L3" s="63" t="s">
        <v>63</v>
      </c>
    </row>
    <row r="4" spans="2:12" ht="84.75" customHeight="1">
      <c r="B4" s="2">
        <v>1</v>
      </c>
      <c r="C4" s="73" t="s">
        <v>264</v>
      </c>
      <c r="D4" s="74" t="s">
        <v>25</v>
      </c>
      <c r="E4" s="72" t="s">
        <v>265</v>
      </c>
      <c r="F4" s="74" t="s">
        <v>25</v>
      </c>
      <c r="G4" s="2">
        <v>30</v>
      </c>
      <c r="H4" s="62"/>
      <c r="I4" s="2" t="s">
        <v>266</v>
      </c>
      <c r="J4" s="2">
        <v>72</v>
      </c>
      <c r="K4" s="2">
        <f>J4*D31*0.2/1000</f>
        <v>3.3984E-2</v>
      </c>
      <c r="L4" s="62"/>
    </row>
    <row r="5" spans="2:12" ht="84.75" customHeight="1">
      <c r="B5" s="2">
        <v>2</v>
      </c>
      <c r="C5" s="73" t="s">
        <v>264</v>
      </c>
      <c r="D5" s="74" t="s">
        <v>25</v>
      </c>
      <c r="E5" s="72" t="s">
        <v>265</v>
      </c>
      <c r="F5" s="74" t="s">
        <v>25</v>
      </c>
      <c r="G5" s="2">
        <v>30</v>
      </c>
      <c r="H5" s="62"/>
      <c r="I5" s="2" t="s">
        <v>267</v>
      </c>
      <c r="J5" s="2">
        <v>15</v>
      </c>
      <c r="K5" s="2">
        <f>J5*D31*0.2/1000</f>
        <v>7.0800000000000004E-3</v>
      </c>
      <c r="L5" s="62"/>
    </row>
    <row r="6" spans="2:12" ht="84.75" customHeight="1">
      <c r="B6" s="2">
        <v>3</v>
      </c>
      <c r="C6" s="73" t="s">
        <v>264</v>
      </c>
      <c r="D6" s="74" t="s">
        <v>25</v>
      </c>
      <c r="E6" s="72" t="s">
        <v>265</v>
      </c>
      <c r="F6" s="74" t="s">
        <v>25</v>
      </c>
      <c r="G6" s="2">
        <v>30</v>
      </c>
      <c r="H6" s="62"/>
      <c r="I6" s="75" t="s">
        <v>268</v>
      </c>
      <c r="J6" s="2">
        <v>25</v>
      </c>
      <c r="K6" s="2">
        <f>J6*D32*0.2/1000</f>
        <v>1.23E-2</v>
      </c>
      <c r="L6" s="62"/>
    </row>
    <row r="7" spans="2:12" ht="84.75" customHeight="1">
      <c r="B7" s="2">
        <v>4</v>
      </c>
      <c r="C7" s="73"/>
      <c r="D7" s="74"/>
      <c r="E7" s="72" t="s">
        <v>269</v>
      </c>
      <c r="F7" s="74"/>
      <c r="G7" s="2"/>
      <c r="H7" s="62"/>
      <c r="I7" s="2" t="s">
        <v>270</v>
      </c>
      <c r="J7" s="2">
        <v>284</v>
      </c>
      <c r="K7" s="2">
        <f>J7*D25*0.2/1000</f>
        <v>16.585600000000003</v>
      </c>
      <c r="L7" s="62"/>
    </row>
    <row r="8" spans="2:12" ht="84.75" customHeight="1">
      <c r="B8" s="2">
        <v>5</v>
      </c>
      <c r="C8" s="73"/>
      <c r="D8" s="74"/>
      <c r="E8" s="72" t="s">
        <v>269</v>
      </c>
      <c r="F8" s="74"/>
      <c r="G8" s="2"/>
      <c r="H8" s="62"/>
      <c r="I8" s="75" t="s">
        <v>271</v>
      </c>
      <c r="J8" s="2">
        <v>79</v>
      </c>
      <c r="K8" s="2">
        <f>J8*D30*0.2/1000</f>
        <v>0.53878000000000004</v>
      </c>
      <c r="L8" s="62"/>
    </row>
    <row r="9" spans="2:12" ht="84.75" customHeight="1">
      <c r="B9" s="2">
        <v>6</v>
      </c>
      <c r="C9" s="73"/>
      <c r="D9" s="74"/>
      <c r="E9" s="72" t="s">
        <v>272</v>
      </c>
      <c r="F9" s="74"/>
      <c r="G9" s="2"/>
      <c r="H9" s="62"/>
      <c r="I9" s="76" t="s">
        <v>273</v>
      </c>
      <c r="J9" s="2">
        <v>6</v>
      </c>
      <c r="K9" s="2">
        <f>J9*D26*0.2/1000</f>
        <v>0.24840000000000001</v>
      </c>
      <c r="L9" s="62"/>
    </row>
    <row r="10" spans="2:12" ht="84.75" customHeight="1">
      <c r="B10" s="2">
        <v>7</v>
      </c>
      <c r="C10" s="73"/>
      <c r="D10" s="74"/>
      <c r="E10" s="72" t="s">
        <v>272</v>
      </c>
      <c r="F10" s="1"/>
      <c r="G10" s="2"/>
      <c r="H10" s="62"/>
      <c r="I10" s="2" t="s">
        <v>270</v>
      </c>
      <c r="J10" s="2">
        <v>2867</v>
      </c>
      <c r="K10" s="2">
        <f>J10*D25*0.2/1000</f>
        <v>167.43280000000001</v>
      </c>
      <c r="L10" s="62"/>
    </row>
    <row r="11" spans="2:12" ht="84.75" customHeight="1">
      <c r="B11" s="2">
        <v>8</v>
      </c>
      <c r="C11" s="73"/>
      <c r="D11" s="1"/>
      <c r="E11" s="72" t="s">
        <v>272</v>
      </c>
      <c r="F11" s="1"/>
      <c r="G11" s="2"/>
      <c r="H11" s="62"/>
      <c r="I11" s="2" t="s">
        <v>271</v>
      </c>
      <c r="J11" s="2">
        <v>2326</v>
      </c>
      <c r="K11" s="2">
        <f>J11*D30*0.2/1000</f>
        <v>15.863320000000002</v>
      </c>
      <c r="L11" s="62"/>
    </row>
    <row r="12" spans="2:12" ht="84.75" customHeight="1">
      <c r="B12" s="2">
        <v>9</v>
      </c>
      <c r="C12" s="73"/>
      <c r="D12" s="1"/>
      <c r="E12" s="72" t="s">
        <v>272</v>
      </c>
      <c r="F12" s="1"/>
      <c r="G12" s="2"/>
      <c r="H12" s="62"/>
      <c r="I12" s="2" t="s">
        <v>274</v>
      </c>
      <c r="J12" s="2">
        <v>43</v>
      </c>
      <c r="K12" s="2">
        <f>J12*D29*0.2/1000</f>
        <v>0.47902</v>
      </c>
      <c r="L12" s="62"/>
    </row>
    <row r="13" spans="2:12" ht="84.75" customHeight="1">
      <c r="B13" s="2">
        <v>10</v>
      </c>
      <c r="C13" s="73"/>
      <c r="D13" s="1"/>
      <c r="E13" s="72" t="s">
        <v>272</v>
      </c>
      <c r="F13" s="1"/>
      <c r="G13" s="2"/>
      <c r="H13" s="62"/>
      <c r="I13" s="2" t="s">
        <v>275</v>
      </c>
      <c r="J13" s="2">
        <v>9300</v>
      </c>
      <c r="K13" s="2">
        <f>J13*D28*0.2/1000</f>
        <v>238.08</v>
      </c>
      <c r="L13" s="62"/>
    </row>
    <row r="14" spans="2:12" ht="84.75" customHeight="1">
      <c r="B14" s="2">
        <v>11</v>
      </c>
      <c r="C14" s="73"/>
      <c r="D14" s="1"/>
      <c r="E14" s="72" t="s">
        <v>276</v>
      </c>
      <c r="F14" s="1"/>
      <c r="G14" s="2"/>
      <c r="H14" s="62"/>
      <c r="I14" s="2" t="s">
        <v>270</v>
      </c>
      <c r="J14" s="2">
        <v>193</v>
      </c>
      <c r="K14" s="2">
        <f>J14*D25*0.2/1000</f>
        <v>11.2712</v>
      </c>
      <c r="L14" s="62"/>
    </row>
    <row r="15" spans="2:12" ht="84.75" customHeight="1">
      <c r="B15" s="2">
        <v>12</v>
      </c>
      <c r="C15" s="73"/>
      <c r="D15" s="1"/>
      <c r="E15" s="72" t="s">
        <v>276</v>
      </c>
      <c r="F15" s="1"/>
      <c r="G15" s="2"/>
      <c r="H15" s="62"/>
      <c r="I15" s="2" t="s">
        <v>271</v>
      </c>
      <c r="J15" s="2">
        <v>211</v>
      </c>
      <c r="K15" s="2">
        <f>J15*D30*0.2/1000</f>
        <v>1.4390200000000002</v>
      </c>
      <c r="L15" s="62"/>
    </row>
    <row r="16" spans="2:12" ht="84.75" customHeight="1">
      <c r="B16" s="2"/>
      <c r="C16" s="73"/>
      <c r="D16" s="1"/>
      <c r="E16" s="72"/>
      <c r="F16" s="1"/>
      <c r="G16" s="2"/>
      <c r="H16" s="62"/>
      <c r="I16" s="2"/>
      <c r="J16" s="2"/>
      <c r="K16" s="2"/>
      <c r="L16" s="62"/>
    </row>
    <row r="17" spans="2:12">
      <c r="B17" s="213" t="s">
        <v>263</v>
      </c>
      <c r="C17" s="214"/>
      <c r="D17" s="214"/>
      <c r="E17" s="214"/>
      <c r="F17" s="214"/>
      <c r="G17" s="214"/>
      <c r="H17" s="214"/>
      <c r="I17" s="214"/>
      <c r="J17" s="215"/>
      <c r="K17" s="119">
        <f>SUM(K4:K15)</f>
        <v>451.99150400000008</v>
      </c>
      <c r="L17" s="62"/>
    </row>
    <row r="18" spans="2:12">
      <c r="B18" s="2"/>
      <c r="C18" s="62"/>
      <c r="D18" s="2"/>
      <c r="E18" s="70"/>
      <c r="F18" s="70"/>
      <c r="G18" s="62"/>
      <c r="H18" s="62"/>
      <c r="I18" s="62"/>
      <c r="J18" s="62"/>
      <c r="K18" s="2"/>
      <c r="L18" s="62"/>
    </row>
    <row r="22" spans="2:12">
      <c r="C22"/>
    </row>
    <row r="24" spans="2:12">
      <c r="C24" s="3" t="s">
        <v>733</v>
      </c>
    </row>
    <row r="25" spans="2:12">
      <c r="C25" s="97" t="s">
        <v>270</v>
      </c>
      <c r="D25" s="67">
        <v>292</v>
      </c>
    </row>
    <row r="26" spans="2:12">
      <c r="C26" s="97" t="s">
        <v>273</v>
      </c>
      <c r="D26" s="67">
        <v>207</v>
      </c>
    </row>
    <row r="27" spans="2:12">
      <c r="C27" s="97" t="s">
        <v>752</v>
      </c>
      <c r="D27" s="67">
        <v>226</v>
      </c>
    </row>
    <row r="28" spans="2:12">
      <c r="C28" s="97" t="s">
        <v>275</v>
      </c>
      <c r="D28" s="67">
        <v>128</v>
      </c>
    </row>
    <row r="29" spans="2:12">
      <c r="C29" s="97" t="s">
        <v>274</v>
      </c>
      <c r="D29" s="67">
        <v>55.7</v>
      </c>
    </row>
    <row r="30" spans="2:12">
      <c r="C30" s="97" t="s">
        <v>753</v>
      </c>
      <c r="D30" s="67">
        <v>34.1</v>
      </c>
    </row>
    <row r="31" spans="2:12">
      <c r="C31" s="97" t="s">
        <v>267</v>
      </c>
      <c r="D31" s="67">
        <v>2.36</v>
      </c>
    </row>
    <row r="32" spans="2:12">
      <c r="C32" s="97" t="s">
        <v>754</v>
      </c>
      <c r="D32" s="67">
        <v>2.46</v>
      </c>
    </row>
    <row r="33" spans="3:4">
      <c r="C33" s="97" t="s">
        <v>755</v>
      </c>
      <c r="D33" s="67">
        <v>0.88</v>
      </c>
    </row>
  </sheetData>
  <mergeCells count="1">
    <mergeCell ref="B17:J17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B27A9-2F08-444A-85B5-95510F5B5972}">
  <dimension ref="B3:N42"/>
  <sheetViews>
    <sheetView topLeftCell="D20" workbookViewId="0">
      <selection activeCell="K24" sqref="K24"/>
    </sheetView>
  </sheetViews>
  <sheetFormatPr defaultRowHeight="14.25"/>
  <cols>
    <col min="1" max="1" width="9.06640625" style="3"/>
    <col min="2" max="2" width="4.3984375" style="3" customWidth="1"/>
    <col min="3" max="3" width="14.265625" style="71" customWidth="1"/>
    <col min="4" max="4" width="20.33203125" style="3" bestFit="1" customWidth="1"/>
    <col min="5" max="6" width="17.3984375" style="3" bestFit="1" customWidth="1"/>
    <col min="7" max="7" width="23.3984375" style="67" customWidth="1"/>
    <col min="8" max="8" width="17.265625" style="3" customWidth="1"/>
    <col min="9" max="16384" width="9.06640625" style="3"/>
  </cols>
  <sheetData>
    <row r="3" spans="2:8">
      <c r="B3" s="77" t="s">
        <v>7</v>
      </c>
      <c r="C3" s="77" t="s">
        <v>278</v>
      </c>
      <c r="D3" s="118" t="s">
        <v>145</v>
      </c>
      <c r="E3" s="118" t="s">
        <v>262</v>
      </c>
      <c r="F3" s="118" t="s">
        <v>263</v>
      </c>
      <c r="G3" s="77" t="s">
        <v>140</v>
      </c>
      <c r="H3" s="118" t="s">
        <v>63</v>
      </c>
    </row>
    <row r="4" spans="2:8" ht="84.75" customHeight="1">
      <c r="B4" s="2">
        <v>1</v>
      </c>
      <c r="C4" s="72" t="s">
        <v>282</v>
      </c>
      <c r="D4" s="2"/>
      <c r="E4" s="2" t="s">
        <v>267</v>
      </c>
      <c r="F4" s="2">
        <f>'Summary Penggunaan Lahan'!G20</f>
        <v>41834</v>
      </c>
      <c r="G4" s="87">
        <f>F4*D37*D29/1000</f>
        <v>19.745648000000003</v>
      </c>
      <c r="H4" s="62"/>
    </row>
    <row r="5" spans="2:8" ht="84.75" customHeight="1">
      <c r="B5" s="2">
        <v>2</v>
      </c>
      <c r="C5" s="72" t="s">
        <v>272</v>
      </c>
      <c r="D5" s="2"/>
      <c r="E5" s="2" t="s">
        <v>267</v>
      </c>
      <c r="F5" s="2">
        <f>'Summary Penggunaan Lahan'!G31</f>
        <v>67800</v>
      </c>
      <c r="G5" s="87">
        <f>F5*D37*D29/1000</f>
        <v>32.001600000000003</v>
      </c>
      <c r="H5" s="62"/>
    </row>
    <row r="6" spans="2:8" ht="84.75" customHeight="1">
      <c r="B6" s="2">
        <v>3</v>
      </c>
      <c r="C6" s="72" t="s">
        <v>272</v>
      </c>
      <c r="D6" s="2"/>
      <c r="E6" s="75" t="s">
        <v>270</v>
      </c>
      <c r="F6" s="2">
        <f>'Summary Penggunaan Lahan'!H31</f>
        <v>2867</v>
      </c>
      <c r="G6" s="87">
        <f>F6*D31*D29/1000</f>
        <v>167.43280000000001</v>
      </c>
      <c r="H6" s="62"/>
    </row>
    <row r="7" spans="2:8" ht="84.75" customHeight="1">
      <c r="B7" s="2">
        <v>4</v>
      </c>
      <c r="C7" s="72" t="s">
        <v>272</v>
      </c>
      <c r="D7" s="2"/>
      <c r="E7" s="2" t="s">
        <v>273</v>
      </c>
      <c r="F7" s="2">
        <f>'Summary Penggunaan Lahan'!I31</f>
        <v>6</v>
      </c>
      <c r="G7" s="87">
        <f>F7*D32*D29/1000</f>
        <v>0.24840000000000001</v>
      </c>
      <c r="H7" s="62"/>
    </row>
    <row r="8" spans="2:8" ht="84.75" customHeight="1">
      <c r="B8" s="2">
        <v>5</v>
      </c>
      <c r="C8" s="72" t="s">
        <v>272</v>
      </c>
      <c r="D8" s="2"/>
      <c r="E8" s="75" t="s">
        <v>271</v>
      </c>
      <c r="F8" s="2">
        <f>'Summary Penggunaan Lahan'!J31</f>
        <v>2326</v>
      </c>
      <c r="G8" s="87">
        <f>F8*D36*D29/1000</f>
        <v>15.863320000000002</v>
      </c>
      <c r="H8" s="62"/>
    </row>
    <row r="9" spans="2:8" ht="84.75" customHeight="1">
      <c r="B9" s="2">
        <v>6</v>
      </c>
      <c r="C9" s="72" t="s">
        <v>272</v>
      </c>
      <c r="D9" s="2"/>
      <c r="E9" s="76" t="s">
        <v>274</v>
      </c>
      <c r="F9" s="2">
        <f>'Summary Penggunaan Lahan'!K31</f>
        <v>43</v>
      </c>
      <c r="G9" s="87">
        <f>F9*D35*D29/1000</f>
        <v>0.47902</v>
      </c>
      <c r="H9" s="62"/>
    </row>
    <row r="10" spans="2:8" ht="84.75" customHeight="1">
      <c r="B10" s="2">
        <v>7</v>
      </c>
      <c r="C10" s="72" t="s">
        <v>272</v>
      </c>
      <c r="D10" s="2"/>
      <c r="E10" s="2" t="s">
        <v>275</v>
      </c>
      <c r="F10" s="2">
        <f>'Summary Penggunaan Lahan'!L31</f>
        <v>9300</v>
      </c>
      <c r="G10" s="87">
        <f>F10*D34*D29/1000</f>
        <v>238.08</v>
      </c>
      <c r="H10" s="62"/>
    </row>
    <row r="11" spans="2:8" ht="84.75" customHeight="1">
      <c r="B11" s="2">
        <v>8</v>
      </c>
      <c r="C11" s="72" t="s">
        <v>272</v>
      </c>
      <c r="D11" s="2"/>
      <c r="E11" s="2" t="s">
        <v>419</v>
      </c>
      <c r="F11" s="2">
        <f>'Summary Penggunaan Lahan'!M31</f>
        <v>19892</v>
      </c>
      <c r="G11" s="87">
        <f>F11*D39*D29/1000</f>
        <v>3.5009920000000001</v>
      </c>
      <c r="H11" s="62"/>
    </row>
    <row r="12" spans="2:8" ht="84.75" customHeight="1">
      <c r="B12" s="2">
        <v>9</v>
      </c>
      <c r="C12" s="72" t="s">
        <v>281</v>
      </c>
      <c r="D12" s="2"/>
      <c r="E12" s="2" t="s">
        <v>267</v>
      </c>
      <c r="F12" s="2">
        <f>'Summary Penggunaan Lahan'!G47</f>
        <v>18753</v>
      </c>
      <c r="G12" s="87">
        <f>F12*D37*D29/1000</f>
        <v>8.8514159999999986</v>
      </c>
      <c r="H12" s="62"/>
    </row>
    <row r="13" spans="2:8" ht="84.75" customHeight="1">
      <c r="B13" s="2">
        <v>10</v>
      </c>
      <c r="C13" s="72" t="s">
        <v>281</v>
      </c>
      <c r="D13" s="2"/>
      <c r="E13" s="2" t="s">
        <v>419</v>
      </c>
      <c r="F13" s="2">
        <f>'Summary Penggunaan Lahan'!M47</f>
        <v>513</v>
      </c>
      <c r="G13" s="87">
        <f>F13*D39*D29/1000</f>
        <v>9.0288000000000007E-2</v>
      </c>
      <c r="H13" s="62"/>
    </row>
    <row r="14" spans="2:8" ht="84.75" customHeight="1">
      <c r="B14" s="2">
        <v>11</v>
      </c>
      <c r="C14" s="72" t="s">
        <v>269</v>
      </c>
      <c r="D14" s="2"/>
      <c r="E14" s="2" t="s">
        <v>267</v>
      </c>
      <c r="F14" s="2">
        <f>'Summary Penggunaan Lahan'!G66</f>
        <v>28093</v>
      </c>
      <c r="G14" s="87">
        <f>F14*D37*D29/1000</f>
        <v>13.259896000000001</v>
      </c>
      <c r="H14" s="62"/>
    </row>
    <row r="15" spans="2:8" ht="84.75" customHeight="1">
      <c r="B15" s="2">
        <v>12</v>
      </c>
      <c r="C15" s="72" t="s">
        <v>269</v>
      </c>
      <c r="D15" s="2"/>
      <c r="E15" s="2" t="s">
        <v>270</v>
      </c>
      <c r="F15" s="2">
        <f>'Summary Penggunaan Lahan'!H66</f>
        <v>265</v>
      </c>
      <c r="G15" s="87">
        <f>F15*D31*D29/1000</f>
        <v>15.476000000000001</v>
      </c>
      <c r="H15" s="62"/>
    </row>
    <row r="16" spans="2:8" ht="84.75" customHeight="1">
      <c r="B16" s="2">
        <v>13</v>
      </c>
      <c r="C16" s="72" t="s">
        <v>269</v>
      </c>
      <c r="D16" s="2"/>
      <c r="E16" s="2" t="s">
        <v>271</v>
      </c>
      <c r="F16" s="2">
        <f>'Summary Penggunaan Lahan'!J66</f>
        <v>109</v>
      </c>
      <c r="G16" s="87">
        <f>F16*D36*D29/1000</f>
        <v>0.74338000000000015</v>
      </c>
      <c r="H16" s="62"/>
    </row>
    <row r="17" spans="2:14" ht="84.75" customHeight="1">
      <c r="B17" s="2">
        <v>14</v>
      </c>
      <c r="C17" s="72" t="s">
        <v>269</v>
      </c>
      <c r="D17" s="2"/>
      <c r="E17" s="2" t="s">
        <v>275</v>
      </c>
      <c r="F17" s="2">
        <f>'Summary Penggunaan Lahan'!L66</f>
        <v>291</v>
      </c>
      <c r="G17" s="87">
        <f>F17*D34*D29/1000</f>
        <v>7.4496000000000002</v>
      </c>
      <c r="H17" s="62"/>
    </row>
    <row r="18" spans="2:14" ht="84.75" customHeight="1">
      <c r="B18" s="2">
        <v>15</v>
      </c>
      <c r="C18" s="72" t="s">
        <v>269</v>
      </c>
      <c r="D18" s="2"/>
      <c r="E18" s="2" t="s">
        <v>419</v>
      </c>
      <c r="F18" s="2">
        <f>'Summary Penggunaan Lahan'!M66</f>
        <v>1000</v>
      </c>
      <c r="G18" s="87">
        <f>F18*D39*D29/1000</f>
        <v>0.17599999999999999</v>
      </c>
      <c r="H18" s="62"/>
    </row>
    <row r="19" spans="2:14" ht="84.75" customHeight="1">
      <c r="B19" s="2">
        <v>16</v>
      </c>
      <c r="C19" s="72" t="s">
        <v>276</v>
      </c>
      <c r="D19" s="2"/>
      <c r="E19" s="2" t="s">
        <v>270</v>
      </c>
      <c r="F19" s="2">
        <v>193</v>
      </c>
      <c r="G19" s="87">
        <f>F19*D31*D29/1000</f>
        <v>11.2712</v>
      </c>
      <c r="H19" s="62"/>
    </row>
    <row r="20" spans="2:14" ht="84.75" customHeight="1">
      <c r="B20" s="2">
        <v>17</v>
      </c>
      <c r="C20" s="72" t="s">
        <v>276</v>
      </c>
      <c r="D20" s="2"/>
      <c r="E20" s="2" t="s">
        <v>271</v>
      </c>
      <c r="F20" s="2">
        <v>211</v>
      </c>
      <c r="G20" s="87">
        <f>F20*D36*D29/1000</f>
        <v>1.4390200000000002</v>
      </c>
      <c r="H20" s="62"/>
    </row>
    <row r="21" spans="2:14" ht="84.75" customHeight="1">
      <c r="B21" s="2"/>
      <c r="C21" s="72"/>
      <c r="D21" s="2"/>
      <c r="E21" s="2"/>
      <c r="F21" s="2"/>
      <c r="G21" s="87"/>
      <c r="H21" s="62"/>
    </row>
    <row r="22" spans="2:14">
      <c r="B22" s="213" t="s">
        <v>263</v>
      </c>
      <c r="C22" s="214"/>
      <c r="D22" s="214"/>
      <c r="E22" s="214"/>
      <c r="F22" s="215"/>
      <c r="G22" s="119">
        <f>SUM(G4:G20)</f>
        <v>536.10858000000019</v>
      </c>
      <c r="H22" s="62"/>
    </row>
    <row r="23" spans="2:14">
      <c r="B23" s="2"/>
      <c r="C23" s="70"/>
      <c r="D23" s="62"/>
      <c r="E23" s="62"/>
      <c r="F23" s="62"/>
      <c r="G23" s="2"/>
      <c r="H23" s="62"/>
    </row>
    <row r="28" spans="2:14">
      <c r="H28" s="3" t="s">
        <v>270</v>
      </c>
      <c r="I28" s="3" t="s">
        <v>273</v>
      </c>
      <c r="J28" s="3" t="s">
        <v>271</v>
      </c>
      <c r="K28" s="3" t="s">
        <v>267</v>
      </c>
      <c r="L28" s="3" t="s">
        <v>274</v>
      </c>
      <c r="M28" s="3" t="s">
        <v>275</v>
      </c>
      <c r="N28" s="3" t="s">
        <v>419</v>
      </c>
    </row>
    <row r="29" spans="2:14">
      <c r="D29" s="67">
        <v>0.2</v>
      </c>
      <c r="G29" s="67" t="s">
        <v>282</v>
      </c>
      <c r="H29" s="3">
        <v>0</v>
      </c>
      <c r="I29" s="3">
        <v>0</v>
      </c>
      <c r="J29" s="3">
        <v>0</v>
      </c>
      <c r="K29" s="3">
        <f>F4</f>
        <v>41834</v>
      </c>
      <c r="L29" s="3">
        <v>0</v>
      </c>
      <c r="M29" s="3">
        <v>0</v>
      </c>
      <c r="N29" s="3">
        <v>0</v>
      </c>
    </row>
    <row r="30" spans="2:14">
      <c r="C30" s="3" t="s">
        <v>733</v>
      </c>
      <c r="D30" s="67"/>
      <c r="G30" s="67" t="s">
        <v>269</v>
      </c>
      <c r="H30" s="3">
        <f>F15</f>
        <v>265</v>
      </c>
      <c r="I30" s="3">
        <f>0</f>
        <v>0</v>
      </c>
      <c r="J30" s="3">
        <f>F16</f>
        <v>109</v>
      </c>
      <c r="K30" s="3">
        <f>F14</f>
        <v>28093</v>
      </c>
      <c r="L30" s="3">
        <f>0</f>
        <v>0</v>
      </c>
      <c r="M30" s="3">
        <f>F17</f>
        <v>291</v>
      </c>
      <c r="N30" s="3">
        <f>F18</f>
        <v>1000</v>
      </c>
    </row>
    <row r="31" spans="2:14">
      <c r="C31" s="97" t="s">
        <v>270</v>
      </c>
      <c r="D31" s="67">
        <v>292</v>
      </c>
      <c r="G31" s="67" t="s">
        <v>281</v>
      </c>
      <c r="H31" s="3">
        <f>0</f>
        <v>0</v>
      </c>
      <c r="I31" s="3">
        <f>0</f>
        <v>0</v>
      </c>
      <c r="J31" s="3">
        <f>0</f>
        <v>0</v>
      </c>
      <c r="K31" s="3">
        <f>F12</f>
        <v>18753</v>
      </c>
      <c r="L31" s="3">
        <f>0</f>
        <v>0</v>
      </c>
      <c r="M31" s="3">
        <f>0</f>
        <v>0</v>
      </c>
      <c r="N31" s="3">
        <f>F13</f>
        <v>513</v>
      </c>
    </row>
    <row r="32" spans="2:14">
      <c r="C32" s="97" t="s">
        <v>273</v>
      </c>
      <c r="D32" s="67">
        <v>207</v>
      </c>
      <c r="G32" s="67" t="s">
        <v>276</v>
      </c>
      <c r="H32" s="3">
        <f>F19</f>
        <v>193</v>
      </c>
      <c r="I32" s="3">
        <f>0</f>
        <v>0</v>
      </c>
      <c r="J32" s="3">
        <f>F20</f>
        <v>211</v>
      </c>
      <c r="K32" s="3">
        <f>0</f>
        <v>0</v>
      </c>
      <c r="L32" s="3">
        <f>0</f>
        <v>0</v>
      </c>
      <c r="M32" s="3">
        <f>0</f>
        <v>0</v>
      </c>
      <c r="N32" s="3">
        <f>0</f>
        <v>0</v>
      </c>
    </row>
    <row r="33" spans="3:14">
      <c r="C33" s="97" t="s">
        <v>752</v>
      </c>
      <c r="D33" s="67">
        <v>226</v>
      </c>
      <c r="G33" s="67" t="s">
        <v>272</v>
      </c>
      <c r="H33" s="3">
        <f>F6</f>
        <v>2867</v>
      </c>
      <c r="I33" s="3">
        <f>F7</f>
        <v>6</v>
      </c>
      <c r="J33" s="3">
        <f>F8</f>
        <v>2326</v>
      </c>
      <c r="K33" s="3">
        <f>F5</f>
        <v>67800</v>
      </c>
      <c r="L33" s="3">
        <f>F9</f>
        <v>43</v>
      </c>
      <c r="M33" s="3">
        <f>F10</f>
        <v>9300</v>
      </c>
      <c r="N33" s="3">
        <f>F13</f>
        <v>513</v>
      </c>
    </row>
    <row r="34" spans="3:14">
      <c r="C34" s="97" t="s">
        <v>275</v>
      </c>
      <c r="D34" s="67">
        <v>128</v>
      </c>
    </row>
    <row r="35" spans="3:14">
      <c r="C35" s="97" t="s">
        <v>274</v>
      </c>
      <c r="D35" s="67">
        <v>55.7</v>
      </c>
      <c r="H35" s="3" t="s">
        <v>282</v>
      </c>
      <c r="I35" s="3" t="s">
        <v>269</v>
      </c>
      <c r="J35" s="3" t="s">
        <v>281</v>
      </c>
      <c r="K35" s="3" t="s">
        <v>276</v>
      </c>
      <c r="L35" s="3" t="s">
        <v>272</v>
      </c>
    </row>
    <row r="36" spans="3:14">
      <c r="C36" s="97" t="s">
        <v>753</v>
      </c>
      <c r="D36" s="67">
        <v>34.1</v>
      </c>
      <c r="G36" s="67" t="s">
        <v>270</v>
      </c>
      <c r="H36" s="3">
        <f>H29</f>
        <v>0</v>
      </c>
      <c r="I36" s="3">
        <f>H30</f>
        <v>265</v>
      </c>
      <c r="J36" s="3">
        <f>H31</f>
        <v>0</v>
      </c>
      <c r="K36" s="3">
        <f>H32</f>
        <v>193</v>
      </c>
      <c r="L36" s="3">
        <f>H33</f>
        <v>2867</v>
      </c>
    </row>
    <row r="37" spans="3:14">
      <c r="C37" s="97" t="s">
        <v>267</v>
      </c>
      <c r="D37" s="67">
        <v>2.36</v>
      </c>
      <c r="G37" s="67" t="s">
        <v>273</v>
      </c>
      <c r="H37" s="3">
        <f>I29</f>
        <v>0</v>
      </c>
      <c r="I37" s="3">
        <f>I30</f>
        <v>0</v>
      </c>
      <c r="J37" s="3">
        <f>I31</f>
        <v>0</v>
      </c>
      <c r="K37" s="3">
        <f>I32</f>
        <v>0</v>
      </c>
      <c r="L37" s="3">
        <f>I33</f>
        <v>6</v>
      </c>
    </row>
    <row r="38" spans="3:14">
      <c r="C38" s="97" t="s">
        <v>754</v>
      </c>
      <c r="D38" s="67">
        <v>2.46</v>
      </c>
      <c r="G38" s="67" t="s">
        <v>271</v>
      </c>
      <c r="H38" s="3">
        <f>J29</f>
        <v>0</v>
      </c>
      <c r="I38" s="3">
        <f>J30</f>
        <v>109</v>
      </c>
      <c r="J38" s="3">
        <f>J31</f>
        <v>0</v>
      </c>
      <c r="K38" s="3">
        <f>J32</f>
        <v>211</v>
      </c>
      <c r="L38" s="3">
        <f>J33</f>
        <v>2326</v>
      </c>
    </row>
    <row r="39" spans="3:14">
      <c r="C39" s="97" t="s">
        <v>755</v>
      </c>
      <c r="D39" s="67">
        <v>0.88</v>
      </c>
      <c r="G39" s="67" t="s">
        <v>267</v>
      </c>
      <c r="H39" s="3">
        <f>K29</f>
        <v>41834</v>
      </c>
      <c r="I39" s="3">
        <f>K30</f>
        <v>28093</v>
      </c>
      <c r="J39" s="3">
        <f>K31</f>
        <v>18753</v>
      </c>
      <c r="K39" s="3">
        <f>K32</f>
        <v>0</v>
      </c>
      <c r="L39" s="3">
        <f>K33</f>
        <v>67800</v>
      </c>
    </row>
    <row r="40" spans="3:14">
      <c r="G40" s="67" t="s">
        <v>274</v>
      </c>
      <c r="H40" s="3">
        <f>L29</f>
        <v>0</v>
      </c>
      <c r="I40" s="3">
        <f>L30</f>
        <v>0</v>
      </c>
      <c r="J40" s="3">
        <f>L31</f>
        <v>0</v>
      </c>
      <c r="K40" s="3">
        <f>L32</f>
        <v>0</v>
      </c>
      <c r="L40" s="3">
        <f>L33</f>
        <v>43</v>
      </c>
    </row>
    <row r="41" spans="3:14">
      <c r="G41" s="67" t="s">
        <v>275</v>
      </c>
      <c r="H41" s="3">
        <f>M29</f>
        <v>0</v>
      </c>
      <c r="I41" s="3">
        <f>M30</f>
        <v>291</v>
      </c>
      <c r="J41" s="3">
        <f>M31</f>
        <v>0</v>
      </c>
      <c r="K41" s="3">
        <f>M32</f>
        <v>0</v>
      </c>
      <c r="L41" s="3">
        <f>M33</f>
        <v>9300</v>
      </c>
    </row>
    <row r="42" spans="3:14">
      <c r="G42" s="67" t="s">
        <v>419</v>
      </c>
      <c r="H42" s="3">
        <f>N29</f>
        <v>0</v>
      </c>
      <c r="I42" s="3">
        <f>N30</f>
        <v>1000</v>
      </c>
      <c r="J42" s="3">
        <f>N31</f>
        <v>513</v>
      </c>
      <c r="K42" s="3">
        <f>N32</f>
        <v>0</v>
      </c>
      <c r="L42" s="3">
        <f>N33</f>
        <v>513</v>
      </c>
    </row>
  </sheetData>
  <mergeCells count="1">
    <mergeCell ref="B22:F22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BC9555-53D5-4E92-9071-DF492E28D44D}">
  <dimension ref="B3:L27"/>
  <sheetViews>
    <sheetView topLeftCell="A6" workbookViewId="0">
      <selection activeCell="J5" sqref="J5"/>
    </sheetView>
  </sheetViews>
  <sheetFormatPr defaultRowHeight="14.25"/>
  <cols>
    <col min="1" max="1" width="9.06640625" style="3"/>
    <col min="2" max="2" width="4.3984375" style="3" customWidth="1"/>
    <col min="3" max="3" width="19.6640625" style="3" customWidth="1"/>
    <col min="4" max="4" width="10.265625" style="67" customWidth="1"/>
    <col min="5" max="6" width="25.53125" style="71" customWidth="1"/>
    <col min="7" max="7" width="20.33203125" style="3" bestFit="1" customWidth="1"/>
    <col min="8" max="8" width="20.1328125" style="3" customWidth="1"/>
    <col min="9" max="10" width="17.3984375" style="3" bestFit="1" customWidth="1"/>
    <col min="11" max="11" width="23.3984375" style="3" customWidth="1"/>
    <col min="12" max="12" width="17.265625" style="3" customWidth="1"/>
    <col min="13" max="16384" width="9.06640625" style="3"/>
  </cols>
  <sheetData>
    <row r="3" spans="2:12">
      <c r="B3" s="64" t="s">
        <v>7</v>
      </c>
      <c r="C3" s="63" t="s">
        <v>233</v>
      </c>
      <c r="D3" s="64" t="s">
        <v>234</v>
      </c>
      <c r="E3" s="64" t="s">
        <v>137</v>
      </c>
      <c r="F3" s="64" t="s">
        <v>146</v>
      </c>
      <c r="G3" s="63" t="s">
        <v>145</v>
      </c>
      <c r="H3" s="63" t="s">
        <v>138</v>
      </c>
      <c r="I3" s="63" t="s">
        <v>277</v>
      </c>
      <c r="J3" s="63" t="s">
        <v>263</v>
      </c>
      <c r="K3" s="63" t="s">
        <v>140</v>
      </c>
      <c r="L3" s="63" t="s">
        <v>63</v>
      </c>
    </row>
    <row r="4" spans="2:12" ht="84.75" customHeight="1">
      <c r="B4" s="2"/>
      <c r="C4" s="73"/>
      <c r="D4" s="74"/>
      <c r="E4" s="72"/>
      <c r="F4" s="74"/>
      <c r="G4" s="2"/>
      <c r="H4" s="62"/>
      <c r="I4" s="2"/>
      <c r="J4" s="2"/>
      <c r="K4" s="62"/>
      <c r="L4" s="62"/>
    </row>
    <row r="5" spans="2:12" ht="84.75" customHeight="1">
      <c r="B5" s="2"/>
      <c r="C5" s="73"/>
      <c r="D5" s="74"/>
      <c r="E5" s="72"/>
      <c r="F5" s="74"/>
      <c r="G5" s="2"/>
      <c r="H5" s="62"/>
      <c r="I5" s="2"/>
      <c r="J5" s="2"/>
      <c r="K5" s="62"/>
      <c r="L5" s="62"/>
    </row>
    <row r="6" spans="2:12" ht="84.75" customHeight="1">
      <c r="B6" s="2"/>
      <c r="C6" s="73"/>
      <c r="D6" s="74"/>
      <c r="E6" s="72"/>
      <c r="F6" s="74"/>
      <c r="G6" s="2"/>
      <c r="H6" s="62"/>
      <c r="I6" s="75"/>
      <c r="J6" s="2"/>
      <c r="K6" s="62"/>
      <c r="L6" s="62"/>
    </row>
    <row r="7" spans="2:12" ht="84.75" customHeight="1">
      <c r="B7" s="2"/>
      <c r="C7" s="73"/>
      <c r="D7" s="74"/>
      <c r="E7" s="72"/>
      <c r="F7" s="74"/>
      <c r="G7" s="2"/>
      <c r="H7" s="62"/>
      <c r="I7" s="2"/>
      <c r="J7" s="2"/>
      <c r="K7" s="62"/>
      <c r="L7" s="62"/>
    </row>
    <row r="8" spans="2:12" ht="84.75" customHeight="1">
      <c r="B8" s="2"/>
      <c r="C8" s="73"/>
      <c r="D8" s="74"/>
      <c r="E8" s="72"/>
      <c r="F8" s="74"/>
      <c r="G8" s="2"/>
      <c r="H8" s="62"/>
      <c r="I8" s="75"/>
      <c r="J8" s="2"/>
      <c r="K8" s="62"/>
      <c r="L8" s="62"/>
    </row>
    <row r="9" spans="2:12" ht="84.75" customHeight="1">
      <c r="B9" s="2"/>
      <c r="C9" s="73"/>
      <c r="D9" s="74"/>
      <c r="E9" s="72"/>
      <c r="F9" s="74"/>
      <c r="G9" s="2"/>
      <c r="H9" s="62"/>
      <c r="I9" s="76"/>
      <c r="J9" s="2"/>
      <c r="K9" s="62"/>
      <c r="L9" s="62"/>
    </row>
    <row r="10" spans="2:12" ht="84.75" customHeight="1">
      <c r="B10" s="2"/>
      <c r="C10" s="73"/>
      <c r="D10" s="74"/>
      <c r="E10" s="72"/>
      <c r="F10" s="1"/>
      <c r="G10" s="2"/>
      <c r="H10" s="62"/>
      <c r="I10" s="2"/>
      <c r="J10" s="2"/>
      <c r="K10" s="62"/>
      <c r="L10" s="62"/>
    </row>
    <row r="11" spans="2:12" ht="84.75" customHeight="1">
      <c r="B11" s="2"/>
      <c r="C11" s="73"/>
      <c r="D11" s="1"/>
      <c r="E11" s="72"/>
      <c r="F11" s="1"/>
      <c r="G11" s="2"/>
      <c r="H11" s="62"/>
      <c r="I11" s="2"/>
      <c r="J11" s="2"/>
      <c r="K11" s="62"/>
      <c r="L11" s="62"/>
    </row>
    <row r="12" spans="2:12" ht="84.75" customHeight="1">
      <c r="B12" s="2"/>
      <c r="C12" s="73"/>
      <c r="D12" s="1"/>
      <c r="E12" s="72"/>
      <c r="F12" s="1"/>
      <c r="G12" s="2"/>
      <c r="H12" s="62"/>
      <c r="I12" s="2"/>
      <c r="J12" s="2"/>
      <c r="K12" s="62"/>
      <c r="L12" s="62"/>
    </row>
    <row r="13" spans="2:12" ht="84.75" customHeight="1">
      <c r="B13" s="2"/>
      <c r="C13" s="73"/>
      <c r="D13" s="1"/>
      <c r="E13" s="72"/>
      <c r="F13" s="1"/>
      <c r="G13" s="2"/>
      <c r="H13" s="62"/>
      <c r="I13" s="2"/>
      <c r="J13" s="2"/>
      <c r="K13" s="62"/>
      <c r="L13" s="62"/>
    </row>
    <row r="14" spans="2:12" ht="84.75" customHeight="1">
      <c r="B14" s="2"/>
      <c r="C14" s="73"/>
      <c r="D14" s="1"/>
      <c r="E14" s="72"/>
      <c r="F14" s="1"/>
      <c r="G14" s="2"/>
      <c r="H14" s="62"/>
      <c r="I14" s="2"/>
      <c r="J14" s="2"/>
      <c r="K14" s="62"/>
      <c r="L14" s="62"/>
    </row>
    <row r="15" spans="2:12" ht="84.75" customHeight="1">
      <c r="B15" s="2"/>
      <c r="C15" s="73"/>
      <c r="D15" s="1"/>
      <c r="E15" s="72"/>
      <c r="F15" s="1"/>
      <c r="G15" s="2"/>
      <c r="H15" s="62"/>
      <c r="I15" s="2"/>
      <c r="J15" s="2"/>
      <c r="K15" s="62"/>
      <c r="L15" s="62"/>
    </row>
    <row r="16" spans="2:12" ht="84.75" customHeight="1">
      <c r="B16" s="2"/>
      <c r="C16" s="73"/>
      <c r="D16" s="1"/>
      <c r="E16" s="72"/>
      <c r="F16" s="1"/>
      <c r="G16" s="2"/>
      <c r="H16" s="62"/>
      <c r="I16" s="2"/>
      <c r="J16" s="2"/>
      <c r="K16" s="62"/>
      <c r="L16" s="62"/>
    </row>
    <row r="17" spans="2:12" ht="84.75" customHeight="1">
      <c r="B17" s="2"/>
      <c r="C17" s="73"/>
      <c r="D17" s="1"/>
      <c r="E17" s="72"/>
      <c r="F17" s="1"/>
      <c r="G17" s="2"/>
      <c r="H17" s="62"/>
      <c r="I17" s="2"/>
      <c r="J17" s="2"/>
      <c r="K17" s="62"/>
      <c r="L17" s="62"/>
    </row>
    <row r="18" spans="2:12" ht="84.75" customHeight="1">
      <c r="B18" s="2"/>
      <c r="C18" s="73"/>
      <c r="D18" s="1"/>
      <c r="E18" s="72"/>
      <c r="F18" s="1"/>
      <c r="G18" s="2"/>
      <c r="H18" s="62"/>
      <c r="I18" s="2"/>
      <c r="J18" s="2"/>
      <c r="K18" s="62"/>
      <c r="L18" s="62"/>
    </row>
    <row r="19" spans="2:12" ht="84.75" customHeight="1">
      <c r="B19" s="2"/>
      <c r="C19" s="73"/>
      <c r="D19" s="1"/>
      <c r="E19" s="72"/>
      <c r="F19" s="1"/>
      <c r="G19" s="2"/>
      <c r="H19" s="62"/>
      <c r="I19" s="2"/>
      <c r="J19" s="2"/>
      <c r="K19" s="62"/>
      <c r="L19" s="62"/>
    </row>
    <row r="20" spans="2:12" ht="84.75" customHeight="1">
      <c r="B20" s="2"/>
      <c r="C20" s="73"/>
      <c r="D20" s="1"/>
      <c r="E20" s="72"/>
      <c r="F20" s="1"/>
      <c r="G20" s="2"/>
      <c r="H20" s="62"/>
      <c r="I20" s="2"/>
      <c r="J20" s="2"/>
      <c r="K20" s="62"/>
      <c r="L20" s="62"/>
    </row>
    <row r="21" spans="2:12" ht="84.75" customHeight="1">
      <c r="B21" s="2"/>
      <c r="C21" s="73"/>
      <c r="D21" s="1"/>
      <c r="E21" s="72"/>
      <c r="F21" s="1"/>
      <c r="G21" s="2"/>
      <c r="H21" s="62"/>
      <c r="I21" s="2"/>
      <c r="J21" s="2"/>
      <c r="K21" s="62"/>
      <c r="L21" s="62"/>
    </row>
    <row r="22" spans="2:12" ht="84.75" customHeight="1">
      <c r="B22" s="2"/>
      <c r="C22" s="73"/>
      <c r="D22" s="1"/>
      <c r="E22" s="72"/>
      <c r="F22" s="1"/>
      <c r="G22" s="2"/>
      <c r="H22" s="62"/>
      <c r="I22" s="2"/>
      <c r="J22" s="2"/>
      <c r="K22" s="62"/>
      <c r="L22" s="62"/>
    </row>
    <row r="23" spans="2:12" ht="84.75" customHeight="1">
      <c r="B23" s="2"/>
      <c r="C23" s="73"/>
      <c r="D23" s="1"/>
      <c r="E23" s="72"/>
      <c r="F23" s="1"/>
      <c r="G23" s="2"/>
      <c r="H23" s="62"/>
      <c r="I23" s="2"/>
      <c r="J23" s="2"/>
      <c r="K23" s="62"/>
      <c r="L23" s="62"/>
    </row>
    <row r="24" spans="2:12" ht="84.75" customHeight="1">
      <c r="B24" s="2"/>
      <c r="C24" s="73"/>
      <c r="D24" s="1"/>
      <c r="E24" s="72"/>
      <c r="F24" s="1"/>
      <c r="G24" s="2"/>
      <c r="H24" s="62"/>
      <c r="I24" s="2"/>
      <c r="J24" s="2"/>
      <c r="K24" s="62"/>
      <c r="L24" s="62"/>
    </row>
    <row r="25" spans="2:12" ht="84.75" customHeight="1">
      <c r="B25" s="2"/>
      <c r="C25" s="73"/>
      <c r="D25" s="1"/>
      <c r="E25" s="72"/>
      <c r="F25" s="1"/>
      <c r="G25" s="2"/>
      <c r="H25" s="62"/>
      <c r="I25" s="2"/>
      <c r="J25" s="2"/>
      <c r="K25" s="62"/>
      <c r="L25" s="62"/>
    </row>
    <row r="26" spans="2:12">
      <c r="B26" s="2"/>
      <c r="C26" s="62"/>
      <c r="D26" s="2"/>
      <c r="E26" s="70"/>
      <c r="F26" s="70"/>
      <c r="G26" s="62"/>
      <c r="H26" s="62"/>
      <c r="I26" s="62"/>
      <c r="J26" s="62"/>
      <c r="K26" s="62"/>
      <c r="L26" s="62"/>
    </row>
    <row r="27" spans="2:12">
      <c r="B27" s="2"/>
      <c r="C27" s="62"/>
      <c r="D27" s="2"/>
      <c r="E27" s="70"/>
      <c r="F27" s="70"/>
      <c r="G27" s="62"/>
      <c r="H27" s="62"/>
      <c r="I27" s="62"/>
      <c r="J27" s="62"/>
      <c r="K27" s="62"/>
      <c r="L27" s="62"/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B5BBFA-55DE-49AC-A5BE-83E587D2898A}">
  <dimension ref="B2:N58"/>
  <sheetViews>
    <sheetView topLeftCell="A27" workbookViewId="0">
      <selection activeCell="K18" sqref="K18"/>
    </sheetView>
  </sheetViews>
  <sheetFormatPr defaultRowHeight="14.25"/>
  <cols>
    <col min="1" max="1" width="9.06640625" style="3"/>
    <col min="2" max="2" width="4.3984375" style="3" customWidth="1"/>
    <col min="3" max="3" width="24" style="3" customWidth="1"/>
    <col min="4" max="4" width="17.3984375" style="3" bestFit="1" customWidth="1"/>
    <col min="5" max="5" width="23.73046875" style="3" customWidth="1"/>
    <col min="6" max="7" width="22.19921875" style="3" customWidth="1"/>
    <col min="8" max="8" width="23.3984375" style="67" customWidth="1"/>
    <col min="9" max="9" width="17.265625" style="3" customWidth="1"/>
    <col min="10" max="12" width="9.06640625" style="3"/>
    <col min="13" max="13" width="17.6640625" style="3" customWidth="1"/>
    <col min="14" max="16384" width="9.06640625" style="3"/>
  </cols>
  <sheetData>
    <row r="2" spans="2:14">
      <c r="C2" s="3" t="s">
        <v>285</v>
      </c>
    </row>
    <row r="3" spans="2:14">
      <c r="B3" s="216" t="s">
        <v>7</v>
      </c>
      <c r="C3" s="78" t="s">
        <v>278</v>
      </c>
      <c r="D3" s="216" t="s">
        <v>286</v>
      </c>
      <c r="E3" s="216" t="s">
        <v>287</v>
      </c>
      <c r="F3" s="216" t="s">
        <v>279</v>
      </c>
      <c r="G3" s="216" t="s">
        <v>280</v>
      </c>
      <c r="H3" s="216" t="s">
        <v>140</v>
      </c>
      <c r="I3" s="216" t="s">
        <v>63</v>
      </c>
    </row>
    <row r="4" spans="2:14">
      <c r="B4" s="217"/>
      <c r="C4" s="79" t="s">
        <v>289</v>
      </c>
      <c r="D4" s="217"/>
      <c r="E4" s="217"/>
      <c r="F4" s="217"/>
      <c r="G4" s="217"/>
      <c r="H4" s="217"/>
      <c r="I4" s="217"/>
    </row>
    <row r="5" spans="2:14" ht="24.75" customHeight="1">
      <c r="B5" s="81">
        <v>1</v>
      </c>
      <c r="C5" s="84" t="s">
        <v>269</v>
      </c>
      <c r="D5" s="81">
        <v>128663</v>
      </c>
      <c r="E5" s="81"/>
      <c r="F5" s="81">
        <v>1</v>
      </c>
      <c r="G5" s="81" t="s">
        <v>283</v>
      </c>
      <c r="H5" s="2"/>
      <c r="I5" s="62"/>
      <c r="M5" s="3" t="s">
        <v>278</v>
      </c>
      <c r="N5" s="3" t="s">
        <v>907</v>
      </c>
    </row>
    <row r="6" spans="2:14" ht="24.75" customHeight="1">
      <c r="B6" s="2"/>
      <c r="C6" s="80" t="s">
        <v>288</v>
      </c>
      <c r="D6" s="2"/>
      <c r="E6" s="2">
        <v>13363</v>
      </c>
      <c r="F6" s="2"/>
      <c r="G6" s="2"/>
      <c r="H6" s="2"/>
      <c r="I6" s="62"/>
      <c r="M6" s="3" t="s">
        <v>282</v>
      </c>
      <c r="N6" s="104">
        <f>SUM(H21:H25)</f>
        <v>1191.33</v>
      </c>
    </row>
    <row r="7" spans="2:14" ht="24.75" customHeight="1">
      <c r="B7" s="2"/>
      <c r="C7" s="80" t="s">
        <v>290</v>
      </c>
      <c r="D7" s="2"/>
      <c r="E7" s="2">
        <v>11775</v>
      </c>
      <c r="F7" s="2"/>
      <c r="G7" s="2"/>
      <c r="H7" s="2"/>
      <c r="I7" s="62"/>
      <c r="M7" s="3" t="s">
        <v>269</v>
      </c>
      <c r="N7" s="104">
        <f>SUM(H9:H12)</f>
        <v>2106.8379999999997</v>
      </c>
    </row>
    <row r="8" spans="2:14" ht="24.75" customHeight="1">
      <c r="B8" s="2"/>
      <c r="C8" s="80" t="s">
        <v>291</v>
      </c>
      <c r="D8" s="2"/>
      <c r="E8" s="2">
        <v>27840</v>
      </c>
      <c r="F8" s="2"/>
      <c r="G8" s="2"/>
      <c r="H8" s="2"/>
      <c r="I8" s="62"/>
      <c r="M8" s="3" t="s">
        <v>281</v>
      </c>
      <c r="N8" s="104">
        <f>SUM(H15:H18)</f>
        <v>2030.288</v>
      </c>
    </row>
    <row r="9" spans="2:14" ht="24.75" customHeight="1">
      <c r="B9" s="2"/>
      <c r="C9" s="82" t="s">
        <v>292</v>
      </c>
      <c r="D9" s="83"/>
      <c r="E9" s="83">
        <v>24736</v>
      </c>
      <c r="F9" s="2">
        <v>1</v>
      </c>
      <c r="G9" s="2">
        <v>1</v>
      </c>
      <c r="H9" s="87">
        <f>E9*F9*G9*$D$48/1000</f>
        <v>989.44</v>
      </c>
      <c r="I9" s="62"/>
      <c r="M9" s="3" t="s">
        <v>276</v>
      </c>
      <c r="N9" s="104">
        <f>SUM(H27:H31)</f>
        <v>2977.0447500000005</v>
      </c>
    </row>
    <row r="10" spans="2:14" ht="24.75" customHeight="1">
      <c r="B10" s="2"/>
      <c r="C10" s="82" t="s">
        <v>293</v>
      </c>
      <c r="D10" s="83"/>
      <c r="E10" s="83">
        <v>15352</v>
      </c>
      <c r="F10" s="2">
        <v>0.3</v>
      </c>
      <c r="G10" s="2">
        <v>1</v>
      </c>
      <c r="H10" s="87">
        <f>E10*F10*G10*$D$48/1000</f>
        <v>184.22399999999996</v>
      </c>
      <c r="I10" s="62"/>
      <c r="M10" s="3" t="s">
        <v>272</v>
      </c>
      <c r="N10" s="104">
        <f>H33+H34+H36+H39</f>
        <v>1104.1046249999999</v>
      </c>
    </row>
    <row r="11" spans="2:14" ht="24.75" customHeight="1">
      <c r="B11" s="2"/>
      <c r="C11" s="82" t="s">
        <v>294</v>
      </c>
      <c r="D11" s="83"/>
      <c r="E11" s="83">
        <v>12338</v>
      </c>
      <c r="F11" s="2">
        <v>1</v>
      </c>
      <c r="G11" s="2">
        <v>1</v>
      </c>
      <c r="H11" s="87">
        <f>E11*F11*G11*$D$48/1000</f>
        <v>493.52</v>
      </c>
      <c r="I11" s="62"/>
    </row>
    <row r="12" spans="2:14" ht="24.75" customHeight="1">
      <c r="B12" s="2"/>
      <c r="C12" s="82" t="s">
        <v>295</v>
      </c>
      <c r="D12" s="83"/>
      <c r="E12" s="83">
        <v>12931</v>
      </c>
      <c r="F12" s="2">
        <v>0.85</v>
      </c>
      <c r="G12" s="2">
        <v>1</v>
      </c>
      <c r="H12" s="87">
        <f>E12*F12*G12*$D$48/1000</f>
        <v>439.654</v>
      </c>
      <c r="I12" s="62"/>
    </row>
    <row r="13" spans="2:14" ht="24.75" customHeight="1">
      <c r="B13" s="2"/>
      <c r="C13" s="80" t="s">
        <v>296</v>
      </c>
      <c r="D13" s="2"/>
      <c r="E13" s="2">
        <v>10328</v>
      </c>
      <c r="F13" s="2"/>
      <c r="G13" s="2"/>
      <c r="H13" s="2"/>
      <c r="I13" s="62"/>
    </row>
    <row r="14" spans="2:14" ht="24.75" customHeight="1">
      <c r="B14" s="81">
        <v>2</v>
      </c>
      <c r="C14" s="84" t="s">
        <v>281</v>
      </c>
      <c r="D14" s="81">
        <v>68972</v>
      </c>
      <c r="E14" s="81"/>
      <c r="F14" s="81">
        <v>1</v>
      </c>
      <c r="G14" s="81" t="s">
        <v>283</v>
      </c>
      <c r="H14" s="2"/>
      <c r="I14" s="62"/>
    </row>
    <row r="15" spans="2:14" ht="24.75" customHeight="1">
      <c r="B15" s="2"/>
      <c r="C15" s="82" t="s">
        <v>297</v>
      </c>
      <c r="D15" s="83"/>
      <c r="E15" s="83">
        <v>12772</v>
      </c>
      <c r="F15" s="2">
        <v>0.85</v>
      </c>
      <c r="G15" s="2">
        <v>1</v>
      </c>
      <c r="H15" s="87">
        <f>E15*F15*G15*$D$48/1000</f>
        <v>434.24799999999993</v>
      </c>
      <c r="I15" s="62"/>
    </row>
    <row r="16" spans="2:14" ht="24.75" customHeight="1">
      <c r="B16" s="2"/>
      <c r="C16" s="82" t="s">
        <v>298</v>
      </c>
      <c r="D16" s="83"/>
      <c r="E16" s="83">
        <v>9604</v>
      </c>
      <c r="F16" s="2">
        <v>1</v>
      </c>
      <c r="G16" s="2">
        <v>1</v>
      </c>
      <c r="H16" s="87">
        <f>E16*F16*G16*$D$48/1000</f>
        <v>384.16</v>
      </c>
      <c r="I16" s="62"/>
    </row>
    <row r="17" spans="2:9" ht="24.75" customHeight="1">
      <c r="B17" s="2"/>
      <c r="C17" s="82" t="s">
        <v>299</v>
      </c>
      <c r="D17" s="83"/>
      <c r="E17" s="83">
        <v>16711</v>
      </c>
      <c r="F17" s="2">
        <v>1</v>
      </c>
      <c r="G17" s="2">
        <v>1</v>
      </c>
      <c r="H17" s="87">
        <f>E17*F17*G17*$D$48/1000</f>
        <v>668.44</v>
      </c>
      <c r="I17" s="62"/>
    </row>
    <row r="18" spans="2:9" ht="24.75" customHeight="1">
      <c r="B18" s="2"/>
      <c r="C18" s="82" t="s">
        <v>300</v>
      </c>
      <c r="D18" s="83"/>
      <c r="E18" s="83">
        <v>13586</v>
      </c>
      <c r="F18" s="2">
        <v>1</v>
      </c>
      <c r="G18" s="2">
        <v>1</v>
      </c>
      <c r="H18" s="87">
        <f>E18*F18*G18*$D$48/1000</f>
        <v>543.44000000000005</v>
      </c>
      <c r="I18" s="62"/>
    </row>
    <row r="19" spans="2:9" ht="24.75" customHeight="1">
      <c r="B19" s="2"/>
      <c r="C19" s="80" t="s">
        <v>301</v>
      </c>
      <c r="D19" s="2"/>
      <c r="E19" s="2">
        <v>16299</v>
      </c>
      <c r="F19" s="2"/>
      <c r="G19" s="2"/>
      <c r="H19" s="2"/>
      <c r="I19" s="62"/>
    </row>
    <row r="20" spans="2:9" ht="24.75" customHeight="1">
      <c r="B20" s="81">
        <v>3</v>
      </c>
      <c r="C20" s="84" t="s">
        <v>282</v>
      </c>
      <c r="D20" s="81">
        <v>33094</v>
      </c>
      <c r="E20" s="81"/>
      <c r="F20" s="81">
        <v>1</v>
      </c>
      <c r="G20" s="81" t="s">
        <v>283</v>
      </c>
      <c r="H20" s="2"/>
      <c r="I20" s="62"/>
    </row>
    <row r="21" spans="2:9" ht="24.75" customHeight="1">
      <c r="B21" s="2"/>
      <c r="C21" s="82" t="s">
        <v>302</v>
      </c>
      <c r="D21" s="83"/>
      <c r="E21" s="83">
        <v>5993</v>
      </c>
      <c r="F21" s="2">
        <v>1</v>
      </c>
      <c r="G21" s="2">
        <v>1</v>
      </c>
      <c r="H21" s="87">
        <f>E21*F21*G21*$D$48/1000</f>
        <v>239.72</v>
      </c>
      <c r="I21" s="62"/>
    </row>
    <row r="22" spans="2:9" ht="24.75" customHeight="1">
      <c r="B22" s="2"/>
      <c r="C22" s="82" t="s">
        <v>303</v>
      </c>
      <c r="D22" s="83"/>
      <c r="E22" s="83">
        <v>6523</v>
      </c>
      <c r="F22" s="2">
        <v>1</v>
      </c>
      <c r="G22" s="2">
        <v>1</v>
      </c>
      <c r="H22" s="87">
        <f>E22*F22*G22*$D$48/1000</f>
        <v>260.92</v>
      </c>
      <c r="I22" s="62"/>
    </row>
    <row r="23" spans="2:9" ht="24.75" customHeight="1">
      <c r="B23" s="2"/>
      <c r="C23" s="82" t="s">
        <v>304</v>
      </c>
      <c r="D23" s="83"/>
      <c r="E23" s="83">
        <v>3709</v>
      </c>
      <c r="F23" s="2">
        <v>0.3</v>
      </c>
      <c r="G23" s="2">
        <v>1</v>
      </c>
      <c r="H23" s="87">
        <f>E23*F23*G23*$D$48/1000</f>
        <v>44.508000000000003</v>
      </c>
      <c r="I23" s="62"/>
    </row>
    <row r="24" spans="2:9" ht="24.75" customHeight="1">
      <c r="B24" s="2"/>
      <c r="C24" s="82" t="s">
        <v>305</v>
      </c>
      <c r="D24" s="83"/>
      <c r="E24" s="83">
        <v>4763</v>
      </c>
      <c r="F24" s="2">
        <v>0.85</v>
      </c>
      <c r="G24" s="2">
        <v>1</v>
      </c>
      <c r="H24" s="87">
        <f>E24*F24*G24*$D$48/1000</f>
        <v>161.94200000000001</v>
      </c>
      <c r="I24" s="62"/>
    </row>
    <row r="25" spans="2:9" ht="24.75" customHeight="1">
      <c r="B25" s="2"/>
      <c r="C25" s="82" t="s">
        <v>306</v>
      </c>
      <c r="D25" s="83"/>
      <c r="E25" s="83">
        <v>12106</v>
      </c>
      <c r="F25" s="2">
        <v>1</v>
      </c>
      <c r="G25" s="2">
        <v>1</v>
      </c>
      <c r="H25" s="87">
        <f>E25*F25*G25*$D$48/1000</f>
        <v>484.24</v>
      </c>
      <c r="I25" s="62"/>
    </row>
    <row r="26" spans="2:9" ht="24.75" customHeight="1">
      <c r="B26" s="81">
        <v>4</v>
      </c>
      <c r="C26" s="84" t="s">
        <v>276</v>
      </c>
      <c r="D26" s="81">
        <v>102182</v>
      </c>
      <c r="E26" s="81"/>
      <c r="F26" s="81">
        <v>1</v>
      </c>
      <c r="G26" s="81" t="s">
        <v>284</v>
      </c>
      <c r="H26" s="2"/>
      <c r="I26" s="62"/>
    </row>
    <row r="27" spans="2:9" ht="24.75" customHeight="1">
      <c r="B27" s="2"/>
      <c r="C27" s="82" t="s">
        <v>307</v>
      </c>
      <c r="D27" s="83"/>
      <c r="E27" s="83">
        <v>16960</v>
      </c>
      <c r="F27" s="2">
        <v>1</v>
      </c>
      <c r="G27" s="2">
        <v>1</v>
      </c>
      <c r="H27" s="87">
        <f>E27*F27*G27*$D$48/1000</f>
        <v>678.4</v>
      </c>
      <c r="I27" s="62"/>
    </row>
    <row r="28" spans="2:9" ht="24.75" customHeight="1">
      <c r="B28" s="2"/>
      <c r="C28" s="82" t="s">
        <v>308</v>
      </c>
      <c r="D28" s="83"/>
      <c r="E28" s="83">
        <v>45272</v>
      </c>
      <c r="F28" s="2">
        <v>0.85</v>
      </c>
      <c r="G28" s="2">
        <v>1</v>
      </c>
      <c r="H28" s="87">
        <f>E28*F28*G28*$D$48/1000</f>
        <v>1539.248</v>
      </c>
      <c r="I28" s="62"/>
    </row>
    <row r="29" spans="2:9" ht="24.75" customHeight="1">
      <c r="B29" s="2"/>
      <c r="C29" s="82" t="s">
        <v>5</v>
      </c>
      <c r="D29" s="83"/>
      <c r="E29" s="83">
        <v>10461</v>
      </c>
      <c r="F29" s="2">
        <v>0.85</v>
      </c>
      <c r="G29" s="2">
        <v>0.8125</v>
      </c>
      <c r="H29" s="87">
        <f>+H39</f>
        <v>222.40725000000003</v>
      </c>
      <c r="I29" s="62"/>
    </row>
    <row r="30" spans="2:9" ht="24.75" customHeight="1">
      <c r="B30" s="2"/>
      <c r="C30" s="82" t="s">
        <v>309</v>
      </c>
      <c r="D30" s="83"/>
      <c r="E30" s="83">
        <v>21242</v>
      </c>
      <c r="F30" s="2">
        <v>0.3</v>
      </c>
      <c r="G30" s="2">
        <v>0.8125</v>
      </c>
      <c r="H30" s="87">
        <f>E30*F30*G30*$D$48/1000</f>
        <v>207.10949999999997</v>
      </c>
      <c r="I30" s="62"/>
    </row>
    <row r="31" spans="2:9" ht="24.75" customHeight="1">
      <c r="B31" s="2"/>
      <c r="C31" s="82" t="s">
        <v>310</v>
      </c>
      <c r="D31" s="83"/>
      <c r="E31" s="83">
        <v>8247</v>
      </c>
      <c r="F31" s="2">
        <v>1</v>
      </c>
      <c r="G31" s="2">
        <v>1</v>
      </c>
      <c r="H31" s="87">
        <f>E31*F31*G31*$D$48/1000</f>
        <v>329.88</v>
      </c>
      <c r="I31" s="62"/>
    </row>
    <row r="32" spans="2:9" ht="24.75" customHeight="1">
      <c r="B32" s="81">
        <v>5</v>
      </c>
      <c r="C32" s="84" t="s">
        <v>272</v>
      </c>
      <c r="D32" s="81">
        <v>98457</v>
      </c>
      <c r="E32" s="81"/>
      <c r="F32" s="81">
        <v>1</v>
      </c>
      <c r="G32" s="81" t="s">
        <v>284</v>
      </c>
      <c r="H32" s="2"/>
      <c r="I32" s="62"/>
    </row>
    <row r="33" spans="2:9" ht="24.75" customHeight="1">
      <c r="B33" s="2"/>
      <c r="C33" s="82" t="s">
        <v>311</v>
      </c>
      <c r="D33" s="83"/>
      <c r="E33" s="83">
        <v>15296</v>
      </c>
      <c r="F33" s="2">
        <v>0.3</v>
      </c>
      <c r="G33" s="2">
        <v>0.8125</v>
      </c>
      <c r="H33" s="87">
        <f>E33*F33*G33*$D$48/1000</f>
        <v>149.136</v>
      </c>
      <c r="I33" s="62"/>
    </row>
    <row r="34" spans="2:9" ht="24.75" customHeight="1">
      <c r="B34" s="2"/>
      <c r="C34" s="82" t="s">
        <v>312</v>
      </c>
      <c r="D34" s="83"/>
      <c r="E34" s="83">
        <v>19365</v>
      </c>
      <c r="F34" s="2">
        <v>0.85</v>
      </c>
      <c r="G34" s="2">
        <v>0.8125</v>
      </c>
      <c r="H34" s="87">
        <f>E34*F34*G34*$D$48/1000</f>
        <v>534.958125</v>
      </c>
      <c r="I34" s="62"/>
    </row>
    <row r="35" spans="2:9" ht="24.75" customHeight="1">
      <c r="B35" s="2"/>
      <c r="C35" s="80" t="s">
        <v>313</v>
      </c>
      <c r="D35" s="2"/>
      <c r="E35" s="2">
        <v>4407</v>
      </c>
      <c r="F35" s="2"/>
      <c r="G35" s="2"/>
      <c r="H35" s="2"/>
      <c r="I35" s="62"/>
    </row>
    <row r="36" spans="2:9" ht="24.75" customHeight="1">
      <c r="B36" s="2"/>
      <c r="C36" s="82" t="s">
        <v>314</v>
      </c>
      <c r="D36" s="83"/>
      <c r="E36" s="83">
        <v>20267</v>
      </c>
      <c r="F36" s="2">
        <v>0.3</v>
      </c>
      <c r="G36" s="2">
        <v>0.8125</v>
      </c>
      <c r="H36" s="87">
        <f>E36*F36*G36*$D$48/1000</f>
        <v>197.60324999999997</v>
      </c>
      <c r="I36" s="62"/>
    </row>
    <row r="37" spans="2:9" ht="24.75" customHeight="1">
      <c r="B37" s="2"/>
      <c r="C37" s="80" t="s">
        <v>315</v>
      </c>
      <c r="D37" s="2"/>
      <c r="E37" s="2">
        <v>10052</v>
      </c>
      <c r="F37" s="2"/>
      <c r="G37" s="2"/>
      <c r="H37" s="2"/>
      <c r="I37" s="62"/>
    </row>
    <row r="38" spans="2:9" ht="24.75" customHeight="1">
      <c r="B38" s="2"/>
      <c r="C38" s="80" t="s">
        <v>316</v>
      </c>
      <c r="D38" s="2"/>
      <c r="E38" s="2">
        <v>4889</v>
      </c>
      <c r="F38" s="2"/>
      <c r="G38" s="2"/>
      <c r="H38" s="2"/>
      <c r="I38" s="62"/>
    </row>
    <row r="39" spans="2:9" ht="24.75" customHeight="1">
      <c r="B39" s="2"/>
      <c r="C39" s="82" t="s">
        <v>317</v>
      </c>
      <c r="D39" s="83"/>
      <c r="E39" s="83">
        <v>22811</v>
      </c>
      <c r="F39" s="2">
        <v>0.3</v>
      </c>
      <c r="G39" s="2">
        <v>0.8125</v>
      </c>
      <c r="H39" s="87">
        <f>E39*F39*G39*$D$48/1000</f>
        <v>222.40725000000003</v>
      </c>
      <c r="I39" s="62"/>
    </row>
    <row r="40" spans="2:9" ht="24.75" customHeight="1">
      <c r="B40" s="2"/>
      <c r="C40" s="80" t="s">
        <v>318</v>
      </c>
      <c r="D40" s="2"/>
      <c r="E40" s="2">
        <v>1370</v>
      </c>
      <c r="F40" s="2"/>
      <c r="G40" s="2"/>
      <c r="H40" s="2"/>
      <c r="I40" s="62"/>
    </row>
    <row r="41" spans="2:9" ht="24.75" customHeight="1">
      <c r="B41" s="2"/>
      <c r="C41" s="73"/>
      <c r="D41" s="2"/>
      <c r="E41" s="2"/>
      <c r="F41" s="2"/>
      <c r="G41" s="2"/>
      <c r="H41" s="2"/>
      <c r="I41" s="62"/>
    </row>
    <row r="42" spans="2:9">
      <c r="B42" s="213" t="s">
        <v>263</v>
      </c>
      <c r="C42" s="214"/>
      <c r="D42" s="214"/>
      <c r="E42" s="214"/>
      <c r="F42" s="214"/>
      <c r="G42" s="215"/>
      <c r="H42" s="120">
        <f>SUM(H9:H39)</f>
        <v>9409.6053749999992</v>
      </c>
      <c r="I42" s="62"/>
    </row>
    <row r="46" spans="2:9">
      <c r="C46"/>
    </row>
    <row r="48" spans="2:9">
      <c r="C48" s="3" t="s">
        <v>733</v>
      </c>
      <c r="D48" s="67">
        <v>40</v>
      </c>
    </row>
    <row r="50" spans="3:4">
      <c r="C50" s="3" t="s">
        <v>279</v>
      </c>
    </row>
    <row r="51" spans="3:4">
      <c r="C51" s="97" t="s">
        <v>756</v>
      </c>
      <c r="D51" s="67">
        <v>1</v>
      </c>
    </row>
    <row r="52" spans="3:4">
      <c r="C52" s="97" t="s">
        <v>757</v>
      </c>
      <c r="D52" s="67">
        <v>0.85</v>
      </c>
    </row>
    <row r="53" spans="3:4">
      <c r="C53" s="97" t="s">
        <v>758</v>
      </c>
      <c r="D53" s="67">
        <v>0.3</v>
      </c>
    </row>
    <row r="55" spans="3:4">
      <c r="C55" s="71" t="s">
        <v>280</v>
      </c>
    </row>
    <row r="56" spans="3:4">
      <c r="C56" s="97" t="s">
        <v>283</v>
      </c>
      <c r="D56" s="67">
        <v>1</v>
      </c>
    </row>
    <row r="57" spans="3:4">
      <c r="C57" s="97" t="s">
        <v>759</v>
      </c>
      <c r="D57" s="67">
        <v>0.8125</v>
      </c>
    </row>
    <row r="58" spans="3:4">
      <c r="C58" s="97" t="s">
        <v>760</v>
      </c>
      <c r="D58" s="67">
        <v>0.625</v>
      </c>
    </row>
  </sheetData>
  <mergeCells count="8">
    <mergeCell ref="H3:H4"/>
    <mergeCell ref="I3:I4"/>
    <mergeCell ref="B42:G42"/>
    <mergeCell ref="B3:B4"/>
    <mergeCell ref="D3:D4"/>
    <mergeCell ref="E3:E4"/>
    <mergeCell ref="F3:F4"/>
    <mergeCell ref="G3:G4"/>
  </mergeCells>
  <pageMargins left="0.7" right="0.7" top="0.75" bottom="0.75" header="0.3" footer="0.3"/>
  <pageSetup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BBA53-1CDB-4B50-ADB3-CF1DD49AA256}">
  <dimension ref="B3:S59"/>
  <sheetViews>
    <sheetView topLeftCell="E32" workbookViewId="0">
      <selection activeCell="U11" sqref="U11"/>
    </sheetView>
  </sheetViews>
  <sheetFormatPr defaultRowHeight="14.25"/>
  <cols>
    <col min="1" max="1" width="9.06640625" style="3"/>
    <col min="2" max="2" width="4.3984375" style="3" customWidth="1"/>
    <col min="3" max="3" width="19.6640625" style="3" customWidth="1"/>
    <col min="4" max="4" width="25.53125" style="71" customWidth="1"/>
    <col min="5" max="5" width="22.86328125" style="67" customWidth="1"/>
    <col min="6" max="6" width="25.53125" style="71" customWidth="1"/>
    <col min="7" max="7" width="20.33203125" style="3" bestFit="1" customWidth="1"/>
    <col min="8" max="8" width="20.1328125" style="3" customWidth="1"/>
    <col min="9" max="9" width="23.3984375" style="3" customWidth="1"/>
    <col min="10" max="10" width="17.265625" style="3" customWidth="1"/>
    <col min="11" max="13" width="9.06640625" style="3"/>
    <col min="14" max="14" width="17.53125" style="3" customWidth="1"/>
    <col min="15" max="15" width="15.19921875" style="3" customWidth="1"/>
    <col min="16" max="16" width="15.265625" style="3" customWidth="1"/>
    <col min="17" max="17" width="13" style="3" customWidth="1"/>
    <col min="18" max="18" width="12.06640625" style="3" customWidth="1"/>
    <col min="19" max="16384" width="9.06640625" style="3"/>
  </cols>
  <sheetData>
    <row r="3" spans="2:19">
      <c r="B3" s="64" t="s">
        <v>7</v>
      </c>
      <c r="C3" s="63" t="s">
        <v>278</v>
      </c>
      <c r="D3" s="64" t="s">
        <v>772</v>
      </c>
      <c r="E3" s="64" t="s">
        <v>319</v>
      </c>
      <c r="F3" s="64" t="s">
        <v>773</v>
      </c>
      <c r="G3" s="63" t="s">
        <v>145</v>
      </c>
      <c r="H3" s="63" t="s">
        <v>138</v>
      </c>
      <c r="I3" s="63" t="s">
        <v>140</v>
      </c>
      <c r="J3" s="63" t="s">
        <v>63</v>
      </c>
    </row>
    <row r="4" spans="2:19" ht="22.15" customHeight="1">
      <c r="B4" s="218">
        <v>1</v>
      </c>
      <c r="C4" s="221" t="s">
        <v>282</v>
      </c>
      <c r="D4" s="221">
        <v>401</v>
      </c>
      <c r="E4" s="74" t="s">
        <v>770</v>
      </c>
      <c r="F4" s="74">
        <v>0.67</v>
      </c>
      <c r="G4" s="2" t="s">
        <v>757</v>
      </c>
      <c r="H4" s="62"/>
      <c r="I4" s="2"/>
      <c r="J4" s="62"/>
    </row>
    <row r="5" spans="2:19" ht="22.15" customHeight="1">
      <c r="B5" s="219"/>
      <c r="C5" s="222"/>
      <c r="D5" s="222"/>
      <c r="E5" s="74" t="s">
        <v>771</v>
      </c>
      <c r="F5" s="74">
        <v>0.5</v>
      </c>
      <c r="G5" s="2" t="s">
        <v>808</v>
      </c>
      <c r="H5" s="62"/>
      <c r="I5" s="2"/>
      <c r="J5" s="62"/>
    </row>
    <row r="6" spans="2:19" ht="22.15" customHeight="1">
      <c r="B6" s="219"/>
      <c r="C6" s="222"/>
      <c r="D6" s="222"/>
      <c r="E6" s="74" t="s">
        <v>775</v>
      </c>
      <c r="F6" s="74">
        <v>0.74</v>
      </c>
      <c r="G6" s="2" t="s">
        <v>810</v>
      </c>
      <c r="H6" s="62"/>
      <c r="I6" s="2"/>
      <c r="J6" s="62"/>
    </row>
    <row r="7" spans="2:19" ht="22.15" customHeight="1">
      <c r="B7" s="219"/>
      <c r="C7" s="222"/>
      <c r="D7" s="222"/>
      <c r="E7" s="74" t="s">
        <v>774</v>
      </c>
      <c r="F7" s="74">
        <v>0.28000000000000003</v>
      </c>
      <c r="G7" s="2" t="s">
        <v>809</v>
      </c>
      <c r="H7" s="62"/>
      <c r="I7" s="2"/>
      <c r="J7" s="62"/>
      <c r="O7" s="3" t="s">
        <v>784</v>
      </c>
      <c r="P7" s="3" t="s">
        <v>762</v>
      </c>
      <c r="Q7" s="3" t="s">
        <v>908</v>
      </c>
      <c r="R7" s="3" t="s">
        <v>403</v>
      </c>
      <c r="S7" s="3" t="s">
        <v>765</v>
      </c>
    </row>
    <row r="8" spans="2:19" ht="22.15" customHeight="1">
      <c r="B8" s="219"/>
      <c r="C8" s="222"/>
      <c r="D8" s="222"/>
      <c r="E8" s="132" t="s">
        <v>806</v>
      </c>
      <c r="F8" s="74">
        <v>10.9</v>
      </c>
      <c r="G8" s="2" t="s">
        <v>785</v>
      </c>
      <c r="H8" s="62"/>
      <c r="I8" s="131">
        <f>F8*D57*D58</f>
        <v>1.0158800000000001</v>
      </c>
      <c r="J8" s="62"/>
      <c r="N8" s="3" t="s">
        <v>282</v>
      </c>
      <c r="O8" s="104">
        <f>I17</f>
        <v>57.362395999999997</v>
      </c>
      <c r="P8" s="104">
        <f>I8+I11+I13</f>
        <v>1.7260640000000003</v>
      </c>
      <c r="Q8" s="3">
        <f>0</f>
        <v>0</v>
      </c>
      <c r="R8" s="3">
        <v>0</v>
      </c>
      <c r="S8" s="3">
        <v>0</v>
      </c>
    </row>
    <row r="9" spans="2:19" ht="22.15" customHeight="1">
      <c r="B9" s="219"/>
      <c r="C9" s="222"/>
      <c r="D9" s="222"/>
      <c r="E9" s="74" t="s">
        <v>776</v>
      </c>
      <c r="F9" s="74">
        <v>0.81</v>
      </c>
      <c r="G9" s="2" t="s">
        <v>810</v>
      </c>
      <c r="H9" s="62"/>
      <c r="I9" s="2"/>
      <c r="J9" s="62"/>
      <c r="N9" s="3" t="s">
        <v>269</v>
      </c>
      <c r="O9" s="104">
        <f>I24</f>
        <v>65.492596000000006</v>
      </c>
      <c r="P9" s="3">
        <f>0</f>
        <v>0</v>
      </c>
      <c r="Q9" s="3">
        <f>0</f>
        <v>0</v>
      </c>
      <c r="R9" s="3">
        <v>0</v>
      </c>
      <c r="S9" s="3">
        <v>49</v>
      </c>
    </row>
    <row r="10" spans="2:19" ht="22.15" customHeight="1">
      <c r="B10" s="219"/>
      <c r="C10" s="222"/>
      <c r="D10" s="222"/>
      <c r="E10" s="74" t="s">
        <v>777</v>
      </c>
      <c r="F10" s="74">
        <v>2.42</v>
      </c>
      <c r="G10" s="2" t="s">
        <v>810</v>
      </c>
      <c r="H10" s="62"/>
      <c r="I10" s="2"/>
      <c r="J10" s="62"/>
      <c r="N10" s="3" t="s">
        <v>281</v>
      </c>
      <c r="O10" s="104">
        <f>I27</f>
        <v>34.192860000000003</v>
      </c>
      <c r="P10" s="3">
        <f>0</f>
        <v>0</v>
      </c>
      <c r="Q10" s="3">
        <f>0</f>
        <v>0</v>
      </c>
      <c r="R10" s="3">
        <v>0</v>
      </c>
      <c r="S10" s="3">
        <v>2.5</v>
      </c>
    </row>
    <row r="11" spans="2:19" ht="22.15" customHeight="1">
      <c r="B11" s="219"/>
      <c r="C11" s="222"/>
      <c r="D11" s="222"/>
      <c r="E11" s="132" t="s">
        <v>778</v>
      </c>
      <c r="F11" s="74">
        <v>3.2</v>
      </c>
      <c r="G11" s="2" t="s">
        <v>810</v>
      </c>
      <c r="H11" s="62"/>
      <c r="I11" s="131">
        <f>F11*D57*D58</f>
        <v>0.29824000000000001</v>
      </c>
      <c r="J11" s="62"/>
      <c r="N11" s="3" t="s">
        <v>276</v>
      </c>
      <c r="O11" s="104">
        <f>I33</f>
        <v>160.65888799999999</v>
      </c>
      <c r="P11" s="104">
        <f>I28+I31</f>
        <v>20.802240000000001</v>
      </c>
      <c r="Q11" s="3">
        <f>0</f>
        <v>0</v>
      </c>
      <c r="R11" s="3">
        <v>0</v>
      </c>
      <c r="S11" s="3">
        <v>2.5</v>
      </c>
    </row>
    <row r="12" spans="2:19" ht="22.15" customHeight="1">
      <c r="B12" s="219"/>
      <c r="C12" s="222"/>
      <c r="D12" s="222"/>
      <c r="E12" s="74" t="s">
        <v>780</v>
      </c>
      <c r="F12" s="74">
        <v>0.59</v>
      </c>
      <c r="G12" s="2" t="s">
        <v>810</v>
      </c>
      <c r="H12" s="62"/>
      <c r="I12" s="2"/>
      <c r="J12" s="62"/>
      <c r="N12" s="3" t="s">
        <v>272</v>
      </c>
      <c r="O12" s="104">
        <f>I49</f>
        <v>317.61163199999999</v>
      </c>
      <c r="P12" s="104">
        <f>I37+I39+I40</f>
        <v>57.5976</v>
      </c>
      <c r="Q12" s="104">
        <f>I34+I41+I42+I47+I48</f>
        <v>49.451920000000008</v>
      </c>
      <c r="R12" s="104">
        <f>I35+I36+I38</f>
        <v>448.23761999999999</v>
      </c>
      <c r="S12" s="3">
        <v>3117.4</v>
      </c>
    </row>
    <row r="13" spans="2:19" ht="22.15" customHeight="1">
      <c r="B13" s="219"/>
      <c r="C13" s="222"/>
      <c r="D13" s="222"/>
      <c r="E13" s="132" t="s">
        <v>779</v>
      </c>
      <c r="F13" s="74">
        <v>4.42</v>
      </c>
      <c r="G13" s="2" t="s">
        <v>785</v>
      </c>
      <c r="H13" s="62"/>
      <c r="I13" s="131">
        <f>F13*D57*D58</f>
        <v>0.41194400000000003</v>
      </c>
      <c r="J13" s="62"/>
    </row>
    <row r="14" spans="2:19" ht="22.15" customHeight="1">
      <c r="B14" s="219"/>
      <c r="C14" s="222"/>
      <c r="D14" s="222"/>
      <c r="E14" s="74" t="s">
        <v>782</v>
      </c>
      <c r="F14" s="74">
        <v>0.56999999999999995</v>
      </c>
      <c r="G14" s="2" t="s">
        <v>810</v>
      </c>
      <c r="H14" s="62"/>
      <c r="I14" s="2"/>
      <c r="J14" s="62"/>
      <c r="O14" s="104">
        <f>SUM(O8:O12)</f>
        <v>635.31837199999995</v>
      </c>
      <c r="P14" s="104">
        <f>SUM(P8:P12)</f>
        <v>80.125904000000006</v>
      </c>
      <c r="Q14" s="104">
        <f>SUM(Q8:Q12)</f>
        <v>49.451920000000008</v>
      </c>
      <c r="R14" s="104">
        <f>SUM(R8:R12)</f>
        <v>448.23761999999999</v>
      </c>
      <c r="S14" s="104">
        <f>SUM(O14:R14)</f>
        <v>1213.133816</v>
      </c>
    </row>
    <row r="15" spans="2:19" ht="22.15" customHeight="1">
      <c r="B15" s="219"/>
      <c r="C15" s="222"/>
      <c r="D15" s="222"/>
      <c r="E15" s="74" t="s">
        <v>781</v>
      </c>
      <c r="F15" s="74">
        <v>0.75</v>
      </c>
      <c r="G15" s="2" t="s">
        <v>810</v>
      </c>
      <c r="H15" s="62"/>
      <c r="I15" s="2"/>
      <c r="J15" s="62"/>
    </row>
    <row r="16" spans="2:19" ht="22.15" customHeight="1">
      <c r="B16" s="219"/>
      <c r="C16" s="222"/>
      <c r="D16" s="222"/>
      <c r="E16" s="74" t="s">
        <v>783</v>
      </c>
      <c r="F16" s="74">
        <v>1.21</v>
      </c>
      <c r="G16" s="2" t="s">
        <v>810</v>
      </c>
      <c r="H16" s="62"/>
      <c r="I16" s="2"/>
      <c r="J16" s="62"/>
    </row>
    <row r="17" spans="2:10" ht="22.15" customHeight="1">
      <c r="B17" s="220"/>
      <c r="C17" s="223"/>
      <c r="D17" s="223"/>
      <c r="E17" s="123" t="s">
        <v>784</v>
      </c>
      <c r="F17" s="123">
        <f>D4-SUM(F4:F16)</f>
        <v>373.94</v>
      </c>
      <c r="G17" s="2" t="s">
        <v>807</v>
      </c>
      <c r="H17" s="62"/>
      <c r="I17" s="131">
        <f>F17*D56*D58</f>
        <v>57.362395999999997</v>
      </c>
      <c r="J17" s="62"/>
    </row>
    <row r="18" spans="2:10" ht="22.15" customHeight="1">
      <c r="B18" s="218">
        <v>2</v>
      </c>
      <c r="C18" s="221" t="s">
        <v>269</v>
      </c>
      <c r="D18" s="221">
        <v>473</v>
      </c>
      <c r="E18" s="74" t="s">
        <v>786</v>
      </c>
      <c r="F18" s="74">
        <v>3.88</v>
      </c>
      <c r="G18" s="2" t="s">
        <v>810</v>
      </c>
      <c r="H18" s="62"/>
      <c r="I18" s="62"/>
      <c r="J18" s="62"/>
    </row>
    <row r="19" spans="2:10" ht="22.15" customHeight="1">
      <c r="B19" s="219"/>
      <c r="C19" s="222"/>
      <c r="D19" s="222"/>
      <c r="E19" s="74" t="s">
        <v>787</v>
      </c>
      <c r="F19" s="74">
        <v>5</v>
      </c>
      <c r="G19" s="2" t="s">
        <v>810</v>
      </c>
      <c r="H19" s="62"/>
      <c r="I19" s="62"/>
      <c r="J19" s="62"/>
    </row>
    <row r="20" spans="2:10" ht="22.15" customHeight="1">
      <c r="B20" s="219"/>
      <c r="C20" s="222"/>
      <c r="D20" s="222"/>
      <c r="E20" s="74" t="s">
        <v>788</v>
      </c>
      <c r="F20" s="74">
        <v>4.51</v>
      </c>
      <c r="G20" s="2" t="s">
        <v>785</v>
      </c>
      <c r="H20" s="62"/>
      <c r="I20" s="62"/>
      <c r="J20" s="62"/>
    </row>
    <row r="21" spans="2:10" ht="22.15" customHeight="1">
      <c r="B21" s="219"/>
      <c r="C21" s="222"/>
      <c r="D21" s="222"/>
      <c r="E21" s="74" t="s">
        <v>789</v>
      </c>
      <c r="F21" s="74">
        <v>10.8</v>
      </c>
      <c r="G21" s="2" t="s">
        <v>785</v>
      </c>
      <c r="H21" s="62"/>
      <c r="I21" s="62"/>
      <c r="J21" s="62"/>
    </row>
    <row r="22" spans="2:10" ht="22.15" customHeight="1">
      <c r="B22" s="219"/>
      <c r="C22" s="222"/>
      <c r="D22" s="222"/>
      <c r="E22" s="74" t="s">
        <v>790</v>
      </c>
      <c r="F22" s="74">
        <v>12.5</v>
      </c>
      <c r="G22" s="2" t="s">
        <v>757</v>
      </c>
      <c r="H22" s="62"/>
      <c r="I22" s="62"/>
      <c r="J22" s="62"/>
    </row>
    <row r="23" spans="2:10" ht="22.15" customHeight="1">
      <c r="B23" s="219"/>
      <c r="C23" s="222"/>
      <c r="D23" s="222"/>
      <c r="E23" s="74" t="s">
        <v>791</v>
      </c>
      <c r="F23" s="74">
        <v>9.3699999999999992</v>
      </c>
      <c r="G23" s="2" t="s">
        <v>810</v>
      </c>
      <c r="H23" s="62"/>
      <c r="I23" s="62"/>
      <c r="J23" s="62"/>
    </row>
    <row r="24" spans="2:10" ht="22.15" customHeight="1">
      <c r="B24" s="220"/>
      <c r="C24" s="223"/>
      <c r="D24" s="223"/>
      <c r="E24" s="123" t="s">
        <v>784</v>
      </c>
      <c r="F24" s="123">
        <f>D18-SUM(F18:F23)</f>
        <v>426.94</v>
      </c>
      <c r="G24" s="2" t="s">
        <v>807</v>
      </c>
      <c r="H24" s="62"/>
      <c r="I24" s="131">
        <f>F24*D56*D58</f>
        <v>65.492596000000006</v>
      </c>
      <c r="J24" s="62"/>
    </row>
    <row r="25" spans="2:10" ht="22.15" customHeight="1">
      <c r="B25" s="218">
        <v>3</v>
      </c>
      <c r="C25" s="221" t="s">
        <v>281</v>
      </c>
      <c r="D25" s="221">
        <v>314</v>
      </c>
      <c r="E25" s="74" t="s">
        <v>792</v>
      </c>
      <c r="F25" s="74">
        <v>80.5</v>
      </c>
      <c r="G25" s="2" t="s">
        <v>757</v>
      </c>
      <c r="H25" s="62"/>
      <c r="I25" s="62"/>
      <c r="J25" s="62"/>
    </row>
    <row r="26" spans="2:10" ht="22.15" customHeight="1">
      <c r="B26" s="219"/>
      <c r="C26" s="222"/>
      <c r="D26" s="222"/>
      <c r="E26" s="74" t="s">
        <v>793</v>
      </c>
      <c r="F26" s="74">
        <v>10.6</v>
      </c>
      <c r="G26" s="2" t="s">
        <v>785</v>
      </c>
      <c r="H26" s="62"/>
      <c r="I26" s="62"/>
      <c r="J26" s="62"/>
    </row>
    <row r="27" spans="2:10" ht="22.15" customHeight="1">
      <c r="B27" s="220"/>
      <c r="C27" s="223"/>
      <c r="D27" s="223"/>
      <c r="E27" s="123" t="s">
        <v>794</v>
      </c>
      <c r="F27" s="123">
        <f>D25-SUM(F25:F26)</f>
        <v>222.9</v>
      </c>
      <c r="G27" s="2" t="s">
        <v>807</v>
      </c>
      <c r="H27" s="62"/>
      <c r="I27" s="131">
        <f>F27*D56*D58</f>
        <v>34.192860000000003</v>
      </c>
      <c r="J27" s="62"/>
    </row>
    <row r="28" spans="2:10" ht="22.15" customHeight="1">
      <c r="B28" s="218">
        <v>4</v>
      </c>
      <c r="C28" s="221" t="s">
        <v>276</v>
      </c>
      <c r="D28" s="221">
        <v>1349</v>
      </c>
      <c r="E28" s="74" t="s">
        <v>811</v>
      </c>
      <c r="F28" s="74">
        <v>10.199999999999999</v>
      </c>
      <c r="G28" s="2" t="s">
        <v>785</v>
      </c>
      <c r="H28" s="62"/>
      <c r="I28" s="131">
        <f>F28*D57*D58</f>
        <v>0.95063999999999993</v>
      </c>
      <c r="J28" s="62"/>
    </row>
    <row r="29" spans="2:10" ht="22.15" customHeight="1">
      <c r="B29" s="219"/>
      <c r="C29" s="222"/>
      <c r="D29" s="222"/>
      <c r="E29" s="74" t="s">
        <v>795</v>
      </c>
      <c r="F29" s="74">
        <v>21.2</v>
      </c>
      <c r="G29" s="2" t="s">
        <v>757</v>
      </c>
      <c r="H29" s="62"/>
      <c r="I29" s="62"/>
      <c r="J29" s="62"/>
    </row>
    <row r="30" spans="2:10" ht="22.15" customHeight="1">
      <c r="B30" s="219"/>
      <c r="C30" s="222"/>
      <c r="D30" s="222"/>
      <c r="E30" s="74" t="s">
        <v>796</v>
      </c>
      <c r="F30" s="74">
        <v>2.48</v>
      </c>
      <c r="G30" s="2" t="s">
        <v>809</v>
      </c>
      <c r="H30" s="62"/>
      <c r="I30" s="62"/>
      <c r="J30" s="62"/>
    </row>
    <row r="31" spans="2:10" ht="22.15" customHeight="1">
      <c r="B31" s="219"/>
      <c r="C31" s="222"/>
      <c r="D31" s="222"/>
      <c r="E31" s="74" t="s">
        <v>812</v>
      </c>
      <c r="F31" s="74">
        <v>213</v>
      </c>
      <c r="G31" s="2" t="s">
        <v>785</v>
      </c>
      <c r="H31" s="62"/>
      <c r="I31" s="131">
        <f>F31*D57*D58</f>
        <v>19.851600000000001</v>
      </c>
      <c r="J31" s="62"/>
    </row>
    <row r="32" spans="2:10" ht="22.15" customHeight="1">
      <c r="B32" s="219"/>
      <c r="C32" s="222"/>
      <c r="D32" s="222"/>
      <c r="E32" s="74" t="s">
        <v>797</v>
      </c>
      <c r="F32" s="74">
        <v>54.8</v>
      </c>
      <c r="G32" s="2" t="s">
        <v>809</v>
      </c>
      <c r="H32" s="62"/>
      <c r="I32" s="62"/>
      <c r="J32" s="62"/>
    </row>
    <row r="33" spans="2:10" ht="22.15" customHeight="1">
      <c r="B33" s="220"/>
      <c r="C33" s="223"/>
      <c r="D33" s="223"/>
      <c r="E33" s="123" t="s">
        <v>784</v>
      </c>
      <c r="F33" s="123">
        <f>D28-SUM(F28:F32)</f>
        <v>1047.32</v>
      </c>
      <c r="G33" s="2" t="s">
        <v>807</v>
      </c>
      <c r="H33" s="62"/>
      <c r="I33" s="131">
        <f>F33*D56*D58</f>
        <v>160.65888799999999</v>
      </c>
      <c r="J33" s="62"/>
    </row>
    <row r="34" spans="2:10" ht="22.15" customHeight="1">
      <c r="B34" s="218">
        <v>5</v>
      </c>
      <c r="C34" s="221" t="s">
        <v>272</v>
      </c>
      <c r="D34" s="221">
        <v>3495</v>
      </c>
      <c r="E34" s="74" t="s">
        <v>813</v>
      </c>
      <c r="F34" s="74">
        <v>79.400000000000006</v>
      </c>
      <c r="G34" s="2" t="s">
        <v>809</v>
      </c>
      <c r="H34" s="62"/>
      <c r="I34" s="131">
        <f>F34*D57*D58</f>
        <v>7.4000800000000009</v>
      </c>
      <c r="J34" s="62"/>
    </row>
    <row r="35" spans="2:10" ht="22.15" customHeight="1">
      <c r="B35" s="219"/>
      <c r="C35" s="222"/>
      <c r="D35" s="222"/>
      <c r="E35" s="74" t="s">
        <v>798</v>
      </c>
      <c r="F35" s="74">
        <v>8.39</v>
      </c>
      <c r="G35" s="2" t="s">
        <v>785</v>
      </c>
      <c r="H35" s="62"/>
      <c r="I35" s="131">
        <f>F35*D59*D58</f>
        <v>18.877500000000001</v>
      </c>
      <c r="J35" s="62"/>
    </row>
    <row r="36" spans="2:10" ht="22.15" customHeight="1">
      <c r="B36" s="219"/>
      <c r="C36" s="222"/>
      <c r="D36" s="222"/>
      <c r="E36" s="74" t="s">
        <v>799</v>
      </c>
      <c r="F36" s="74">
        <v>189</v>
      </c>
      <c r="G36" s="2" t="s">
        <v>809</v>
      </c>
      <c r="H36" s="62"/>
      <c r="I36" s="131">
        <f>F36*D59*D58</f>
        <v>425.25</v>
      </c>
      <c r="J36" s="62"/>
    </row>
    <row r="37" spans="2:10" ht="22.15" customHeight="1">
      <c r="B37" s="219"/>
      <c r="C37" s="222"/>
      <c r="D37" s="222"/>
      <c r="E37" s="74" t="s">
        <v>814</v>
      </c>
      <c r="F37" s="74">
        <v>167</v>
      </c>
      <c r="G37" s="2" t="s">
        <v>809</v>
      </c>
      <c r="H37" s="62"/>
      <c r="I37" s="131">
        <f>F37*D57*D58</f>
        <v>15.564400000000001</v>
      </c>
      <c r="J37" s="62"/>
    </row>
    <row r="38" spans="2:10" ht="22.15" customHeight="1">
      <c r="B38" s="219"/>
      <c r="C38" s="222"/>
      <c r="D38" s="222"/>
      <c r="E38" s="74" t="s">
        <v>815</v>
      </c>
      <c r="F38" s="74">
        <v>44.1</v>
      </c>
      <c r="G38" s="2" t="s">
        <v>785</v>
      </c>
      <c r="H38" s="62"/>
      <c r="I38" s="131">
        <f>F38*D57*D58</f>
        <v>4.1101200000000002</v>
      </c>
      <c r="J38" s="62"/>
    </row>
    <row r="39" spans="2:10" ht="22.15" customHeight="1">
      <c r="B39" s="219"/>
      <c r="C39" s="222"/>
      <c r="D39" s="222"/>
      <c r="E39" s="74" t="s">
        <v>800</v>
      </c>
      <c r="F39" s="74">
        <v>176</v>
      </c>
      <c r="G39" s="2" t="s">
        <v>785</v>
      </c>
      <c r="H39" s="62"/>
      <c r="I39" s="131">
        <f>F39*D57*D58</f>
        <v>16.403200000000002</v>
      </c>
      <c r="J39" s="62"/>
    </row>
    <row r="40" spans="2:10" ht="22.15" customHeight="1">
      <c r="B40" s="219"/>
      <c r="C40" s="222"/>
      <c r="D40" s="222"/>
      <c r="E40" s="74" t="s">
        <v>801</v>
      </c>
      <c r="F40" s="74">
        <v>275</v>
      </c>
      <c r="G40" s="2" t="s">
        <v>785</v>
      </c>
      <c r="H40" s="62"/>
      <c r="I40" s="131">
        <f>F40*D57*D58</f>
        <v>25.63</v>
      </c>
      <c r="J40" s="62"/>
    </row>
    <row r="41" spans="2:10" ht="22.15" customHeight="1">
      <c r="B41" s="219"/>
      <c r="C41" s="222"/>
      <c r="D41" s="222"/>
      <c r="E41" s="74" t="s">
        <v>816</v>
      </c>
      <c r="F41" s="74">
        <v>205</v>
      </c>
      <c r="G41" s="2" t="s">
        <v>809</v>
      </c>
      <c r="H41" s="62"/>
      <c r="I41" s="131">
        <f>F41*D57*D58</f>
        <v>19.106000000000002</v>
      </c>
      <c r="J41" s="62"/>
    </row>
    <row r="42" spans="2:10" ht="22.15" customHeight="1">
      <c r="B42" s="219"/>
      <c r="C42" s="222"/>
      <c r="D42" s="222"/>
      <c r="E42" s="74" t="s">
        <v>817</v>
      </c>
      <c r="F42" s="74">
        <v>54</v>
      </c>
      <c r="G42" s="2" t="s">
        <v>809</v>
      </c>
      <c r="H42" s="62"/>
      <c r="I42" s="131">
        <f>F42*D57*D58</f>
        <v>5.0328000000000008</v>
      </c>
      <c r="J42" s="62"/>
    </row>
    <row r="43" spans="2:10" ht="22.15" customHeight="1">
      <c r="B43" s="219"/>
      <c r="C43" s="222"/>
      <c r="D43" s="222"/>
      <c r="E43" s="74" t="s">
        <v>802</v>
      </c>
      <c r="F43" s="74">
        <v>9.4700000000000006</v>
      </c>
      <c r="G43" s="2" t="s">
        <v>757</v>
      </c>
      <c r="H43" s="62"/>
      <c r="I43" s="62"/>
      <c r="J43" s="62"/>
    </row>
    <row r="44" spans="2:10" ht="22.15" customHeight="1">
      <c r="B44" s="219"/>
      <c r="C44" s="222"/>
      <c r="D44" s="222"/>
      <c r="E44" s="74" t="s">
        <v>804</v>
      </c>
      <c r="F44" s="74">
        <v>16.3</v>
      </c>
      <c r="G44" s="2" t="s">
        <v>809</v>
      </c>
      <c r="H44" s="62"/>
      <c r="I44" s="62"/>
      <c r="J44" s="62"/>
    </row>
    <row r="45" spans="2:10" ht="22.15" customHeight="1">
      <c r="B45" s="219"/>
      <c r="C45" s="222"/>
      <c r="D45" s="222"/>
      <c r="E45" s="74" t="s">
        <v>805</v>
      </c>
      <c r="F45" s="74">
        <v>3.84</v>
      </c>
      <c r="G45" s="2" t="s">
        <v>757</v>
      </c>
      <c r="H45" s="62"/>
      <c r="I45" s="62"/>
      <c r="J45" s="62"/>
    </row>
    <row r="46" spans="2:10" ht="22.15" customHeight="1">
      <c r="B46" s="219"/>
      <c r="C46" s="222"/>
      <c r="D46" s="222"/>
      <c r="E46" s="74" t="s">
        <v>803</v>
      </c>
      <c r="F46" s="74">
        <v>4.82</v>
      </c>
      <c r="G46" s="2" t="s">
        <v>757</v>
      </c>
      <c r="H46" s="62"/>
      <c r="I46" s="62"/>
      <c r="J46" s="62"/>
    </row>
    <row r="47" spans="2:10" ht="22.15" customHeight="1">
      <c r="B47" s="219"/>
      <c r="C47" s="222"/>
      <c r="D47" s="222"/>
      <c r="E47" s="74" t="s">
        <v>823</v>
      </c>
      <c r="F47" s="74">
        <v>139</v>
      </c>
      <c r="G47" s="2" t="s">
        <v>757</v>
      </c>
      <c r="H47" s="62"/>
      <c r="I47" s="131">
        <f>F47*D57*D58</f>
        <v>12.954800000000001</v>
      </c>
      <c r="J47" s="62"/>
    </row>
    <row r="48" spans="2:10" ht="22.15" customHeight="1">
      <c r="B48" s="219"/>
      <c r="C48" s="222"/>
      <c r="D48" s="222"/>
      <c r="E48" s="74" t="s">
        <v>824</v>
      </c>
      <c r="F48" s="74">
        <v>53.2</v>
      </c>
      <c r="G48" s="2" t="s">
        <v>757</v>
      </c>
      <c r="H48" s="62"/>
      <c r="I48" s="131">
        <f>F48*D57*D58</f>
        <v>4.9582400000000009</v>
      </c>
      <c r="J48" s="62"/>
    </row>
    <row r="49" spans="2:10" ht="22.15" customHeight="1">
      <c r="B49" s="220"/>
      <c r="C49" s="223"/>
      <c r="D49" s="223"/>
      <c r="E49" s="123" t="s">
        <v>784</v>
      </c>
      <c r="F49" s="123">
        <f>D34-SUM(F34:F48)</f>
        <v>2070.48</v>
      </c>
      <c r="G49" s="2" t="s">
        <v>807</v>
      </c>
      <c r="H49" s="62"/>
      <c r="I49" s="131">
        <f>F49*D56*D58</f>
        <v>317.61163199999999</v>
      </c>
      <c r="J49" s="62"/>
    </row>
    <row r="50" spans="2:10" ht="22.15" customHeight="1">
      <c r="B50" s="2"/>
      <c r="C50" s="73"/>
      <c r="D50" s="72"/>
      <c r="E50" s="74"/>
      <c r="F50" s="74"/>
      <c r="G50" s="2"/>
      <c r="H50" s="62"/>
      <c r="I50" s="133">
        <f>I8+I11+I13+I17+I24+I27+I28+I31+I33+I34+I35+I36+I37+I38+I39+I40+I41+I42+I49+I47+I48</f>
        <v>1213.1338159999998</v>
      </c>
      <c r="J50" s="62"/>
    </row>
    <row r="51" spans="2:10">
      <c r="B51" s="2"/>
      <c r="C51" s="62"/>
      <c r="D51" s="70"/>
      <c r="E51" s="2"/>
      <c r="F51" s="70"/>
      <c r="G51" s="62"/>
      <c r="H51" s="62"/>
      <c r="I51" s="62"/>
      <c r="J51" s="62"/>
    </row>
    <row r="55" spans="2:10">
      <c r="C55" s="3" t="s">
        <v>733</v>
      </c>
      <c r="D55" s="67" t="s">
        <v>819</v>
      </c>
    </row>
    <row r="56" spans="2:10">
      <c r="C56" s="97" t="s">
        <v>784</v>
      </c>
      <c r="D56" s="67">
        <v>15.34</v>
      </c>
    </row>
    <row r="57" spans="2:10">
      <c r="C57" s="97" t="s">
        <v>762</v>
      </c>
      <c r="D57" s="67">
        <v>9.32</v>
      </c>
    </row>
    <row r="58" spans="2:10">
      <c r="C58" s="97" t="s">
        <v>820</v>
      </c>
      <c r="D58" s="67">
        <v>0.01</v>
      </c>
    </row>
    <row r="59" spans="2:10">
      <c r="C59" s="97" t="s">
        <v>403</v>
      </c>
      <c r="D59" s="67">
        <v>225</v>
      </c>
    </row>
  </sheetData>
  <mergeCells count="15">
    <mergeCell ref="D34:D49"/>
    <mergeCell ref="C34:C49"/>
    <mergeCell ref="B34:B49"/>
    <mergeCell ref="D25:D27"/>
    <mergeCell ref="C25:C27"/>
    <mergeCell ref="B25:B27"/>
    <mergeCell ref="D28:D33"/>
    <mergeCell ref="C28:C33"/>
    <mergeCell ref="B28:B33"/>
    <mergeCell ref="B4:B17"/>
    <mergeCell ref="C4:C17"/>
    <mergeCell ref="D4:D17"/>
    <mergeCell ref="D18:D24"/>
    <mergeCell ref="C18:C24"/>
    <mergeCell ref="B18:B24"/>
  </mergeCells>
  <pageMargins left="0.7" right="0.7" top="0.75" bottom="0.75" header="0.3" footer="0.3"/>
  <pageSetup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8006F-259D-4A42-85C9-80F5F05C2762}">
  <dimension ref="B2:P124"/>
  <sheetViews>
    <sheetView tabSelected="1" workbookViewId="0">
      <selection activeCell="H13" sqref="H13"/>
    </sheetView>
  </sheetViews>
  <sheetFormatPr defaultRowHeight="14.25"/>
  <cols>
    <col min="2" max="2" width="4.19921875" customWidth="1"/>
    <col min="3" max="3" width="25.53125" customWidth="1"/>
    <col min="4" max="4" width="11.1328125" customWidth="1"/>
    <col min="5" max="5" width="9.19921875" bestFit="1" customWidth="1"/>
    <col min="6" max="6" width="13.9296875" customWidth="1"/>
  </cols>
  <sheetData>
    <row r="2" spans="2:7">
      <c r="B2" s="3" t="s">
        <v>361</v>
      </c>
    </row>
    <row r="3" spans="2:7" ht="14.25" customHeight="1">
      <c r="B3" s="228" t="s">
        <v>7</v>
      </c>
      <c r="C3" s="228" t="s">
        <v>320</v>
      </c>
      <c r="D3" s="226" t="s">
        <v>321</v>
      </c>
      <c r="E3" s="227"/>
      <c r="F3" s="232" t="s">
        <v>140</v>
      </c>
      <c r="G3" s="224" t="s">
        <v>63</v>
      </c>
    </row>
    <row r="4" spans="2:7">
      <c r="B4" s="229"/>
      <c r="C4" s="229"/>
      <c r="D4" s="86" t="s">
        <v>322</v>
      </c>
      <c r="E4" s="86" t="s">
        <v>323</v>
      </c>
      <c r="F4" s="233"/>
      <c r="G4" s="225"/>
    </row>
    <row r="5" spans="2:7">
      <c r="B5" s="2">
        <v>1</v>
      </c>
      <c r="C5" s="62" t="s">
        <v>324</v>
      </c>
      <c r="D5" s="2">
        <v>203.13</v>
      </c>
      <c r="E5" s="87">
        <f>(D5/$D$15)*100</f>
        <v>0.64536975083065973</v>
      </c>
      <c r="F5" s="87">
        <f>D5*L23*$L$22</f>
        <v>253.91249999999999</v>
      </c>
      <c r="G5" s="62"/>
    </row>
    <row r="6" spans="2:7">
      <c r="B6" s="2">
        <v>2</v>
      </c>
      <c r="C6" s="62" t="s">
        <v>325</v>
      </c>
      <c r="D6" s="2">
        <v>146.15</v>
      </c>
      <c r="E6" s="87">
        <f t="shared" ref="E6:E14" si="0">(D6/$D$15)*100</f>
        <v>0.46433707026978255</v>
      </c>
      <c r="F6" s="87">
        <f>D6*L24*L22</f>
        <v>13.621180000000003</v>
      </c>
      <c r="G6" s="62"/>
    </row>
    <row r="7" spans="2:7">
      <c r="B7" s="2">
        <v>3</v>
      </c>
      <c r="C7" s="62" t="s">
        <v>326</v>
      </c>
      <c r="D7" s="2">
        <v>6996.25</v>
      </c>
      <c r="E7" s="87">
        <f t="shared" si="0"/>
        <v>22.227972821587176</v>
      </c>
      <c r="F7" s="87">
        <f>D7*L25*L22</f>
        <v>652.05050000000006</v>
      </c>
      <c r="G7" s="62"/>
    </row>
    <row r="8" spans="2:7">
      <c r="B8" s="2">
        <v>4</v>
      </c>
      <c r="C8" s="62" t="s">
        <v>327</v>
      </c>
      <c r="D8" s="2">
        <v>4473.4399999999996</v>
      </c>
      <c r="E8" s="87">
        <f t="shared" si="0"/>
        <v>14.212685758656557</v>
      </c>
      <c r="F8" s="87">
        <f>D8*L26*L22</f>
        <v>1453.8679999999999</v>
      </c>
      <c r="G8" s="62"/>
    </row>
    <row r="9" spans="2:7">
      <c r="B9" s="2">
        <v>5</v>
      </c>
      <c r="C9" s="62" t="s">
        <v>328</v>
      </c>
      <c r="D9" s="2">
        <v>14501.36</v>
      </c>
      <c r="E9" s="87">
        <f t="shared" si="0"/>
        <v>46.072658346407209</v>
      </c>
      <c r="F9" s="87">
        <f>D9*P27*L22</f>
        <v>1351.526752</v>
      </c>
      <c r="G9" s="62"/>
    </row>
    <row r="10" spans="2:7">
      <c r="B10" s="2">
        <v>6</v>
      </c>
      <c r="C10" s="62" t="s">
        <v>329</v>
      </c>
      <c r="D10" s="2">
        <v>648.99</v>
      </c>
      <c r="E10" s="87">
        <f t="shared" si="0"/>
        <v>2.0619234706423959</v>
      </c>
      <c r="F10" s="87">
        <f>D10*L27*L22</f>
        <v>1460.2275</v>
      </c>
      <c r="G10" s="62"/>
    </row>
    <row r="11" spans="2:7">
      <c r="B11" s="2">
        <v>7</v>
      </c>
      <c r="C11" s="62" t="s">
        <v>330</v>
      </c>
      <c r="D11" s="2">
        <v>1106.6400000000001</v>
      </c>
      <c r="E11" s="87">
        <f t="shared" si="0"/>
        <v>3.51593551449437</v>
      </c>
      <c r="F11" s="87">
        <f>D11*P23*L22</f>
        <v>359.65800000000002</v>
      </c>
      <c r="G11" s="62"/>
    </row>
    <row r="12" spans="2:7">
      <c r="B12" s="2">
        <v>8</v>
      </c>
      <c r="C12" s="62" t="s">
        <v>331</v>
      </c>
      <c r="D12" s="2">
        <v>2267.7800000000002</v>
      </c>
      <c r="E12" s="87">
        <f t="shared" si="0"/>
        <v>7.2050244352816106</v>
      </c>
      <c r="F12" s="87">
        <f>D12*P24*L22</f>
        <v>347.87745200000006</v>
      </c>
      <c r="G12" s="62"/>
    </row>
    <row r="13" spans="2:7">
      <c r="B13" s="2">
        <v>9</v>
      </c>
      <c r="C13" s="62" t="s">
        <v>332</v>
      </c>
      <c r="D13" s="2">
        <v>215.61</v>
      </c>
      <c r="E13" s="87">
        <f t="shared" si="0"/>
        <v>0.68502029230836681</v>
      </c>
      <c r="F13" s="87">
        <f>D13*P25*L22</f>
        <v>33.074574000000005</v>
      </c>
      <c r="G13" s="62"/>
    </row>
    <row r="14" spans="2:7">
      <c r="B14" s="2">
        <v>10</v>
      </c>
      <c r="C14" s="62" t="s">
        <v>333</v>
      </c>
      <c r="D14" s="2">
        <v>915.63</v>
      </c>
      <c r="E14" s="87">
        <f t="shared" si="0"/>
        <v>2.9090725395218673</v>
      </c>
      <c r="F14" s="87">
        <f>D14*P26*L22</f>
        <v>85.336715999999996</v>
      </c>
      <c r="G14" s="62"/>
    </row>
    <row r="15" spans="2:7">
      <c r="B15" s="230" t="s">
        <v>263</v>
      </c>
      <c r="C15" s="231"/>
      <c r="D15" s="83">
        <f>SUM(D5:D14)</f>
        <v>31474.980000000003</v>
      </c>
      <c r="E15" s="83">
        <f>SUM(E5:E14)</f>
        <v>100</v>
      </c>
      <c r="F15" s="122">
        <f>SUM(F5:F14)</f>
        <v>6011.153174</v>
      </c>
      <c r="G15" s="62"/>
    </row>
    <row r="19" spans="2:16">
      <c r="B19" t="s">
        <v>395</v>
      </c>
    </row>
    <row r="20" spans="2:16">
      <c r="B20" s="216" t="s">
        <v>7</v>
      </c>
      <c r="C20" s="216" t="s">
        <v>289</v>
      </c>
      <c r="D20" s="235" t="s">
        <v>398</v>
      </c>
      <c r="E20" s="236"/>
      <c r="F20" t="s">
        <v>399</v>
      </c>
      <c r="G20">
        <v>41834</v>
      </c>
    </row>
    <row r="21" spans="2:16" s="3" customFormat="1">
      <c r="B21" s="217"/>
      <c r="C21" s="217"/>
      <c r="D21" s="64" t="s">
        <v>396</v>
      </c>
      <c r="E21" s="64" t="s">
        <v>397</v>
      </c>
      <c r="F21" s="3" t="s">
        <v>400</v>
      </c>
      <c r="G21" s="3">
        <v>0</v>
      </c>
    </row>
    <row r="22" spans="2:16">
      <c r="B22" s="83">
        <v>1</v>
      </c>
      <c r="C22" s="127" t="s">
        <v>305</v>
      </c>
      <c r="D22" s="83">
        <v>0.57999999999999996</v>
      </c>
      <c r="E22" s="126">
        <f>(D22/$D$27)*100</f>
        <v>5.2158273381294968</v>
      </c>
      <c r="J22" t="s">
        <v>733</v>
      </c>
      <c r="L22">
        <v>0.01</v>
      </c>
    </row>
    <row r="23" spans="2:16">
      <c r="B23" s="83">
        <v>2</v>
      </c>
      <c r="C23" s="127" t="s">
        <v>302</v>
      </c>
      <c r="D23" s="83">
        <v>0.49</v>
      </c>
      <c r="E23" s="126">
        <f>(D23/$D$27)*100</f>
        <v>4.4064748201438855</v>
      </c>
      <c r="J23" t="s">
        <v>761</v>
      </c>
      <c r="L23">
        <v>125</v>
      </c>
      <c r="N23" t="s">
        <v>765</v>
      </c>
      <c r="P23">
        <v>32.5</v>
      </c>
    </row>
    <row r="24" spans="2:16">
      <c r="B24" s="83">
        <v>3</v>
      </c>
      <c r="C24" s="127" t="s">
        <v>303</v>
      </c>
      <c r="D24" s="83">
        <v>0.72</v>
      </c>
      <c r="E24" s="126">
        <f>(D24/$D$27)*100</f>
        <v>6.4748201438848918</v>
      </c>
      <c r="J24" t="s">
        <v>762</v>
      </c>
      <c r="L24">
        <v>9.32</v>
      </c>
      <c r="N24" t="s">
        <v>766</v>
      </c>
      <c r="P24">
        <v>15.34</v>
      </c>
    </row>
    <row r="25" spans="2:16">
      <c r="B25" s="83">
        <v>4</v>
      </c>
      <c r="C25" s="127" t="s">
        <v>304</v>
      </c>
      <c r="D25" s="83">
        <v>0.48</v>
      </c>
      <c r="E25" s="126">
        <f>(D25/$D$27)*100</f>
        <v>4.3165467625899279</v>
      </c>
      <c r="J25" t="s">
        <v>763</v>
      </c>
      <c r="L25">
        <v>9.32</v>
      </c>
      <c r="N25" t="s">
        <v>767</v>
      </c>
      <c r="P25">
        <v>15.34</v>
      </c>
    </row>
    <row r="26" spans="2:16" s="3" customFormat="1">
      <c r="B26" s="83">
        <v>5</v>
      </c>
      <c r="C26" s="127" t="s">
        <v>306</v>
      </c>
      <c r="D26" s="83">
        <v>8.85</v>
      </c>
      <c r="E26" s="126">
        <f>(D26/$D$27)*100</f>
        <v>79.586330935251809</v>
      </c>
      <c r="J26" s="3" t="s">
        <v>764</v>
      </c>
      <c r="L26" s="3">
        <v>32.5</v>
      </c>
      <c r="N26" s="3" t="s">
        <v>768</v>
      </c>
      <c r="P26" s="3">
        <v>9.32</v>
      </c>
    </row>
    <row r="27" spans="2:16">
      <c r="B27" s="237" t="s">
        <v>263</v>
      </c>
      <c r="C27" s="238"/>
      <c r="D27" s="2">
        <f>SUM(D22:D26)</f>
        <v>11.12</v>
      </c>
      <c r="E27" s="2">
        <f>SUM(E22:E26)</f>
        <v>100</v>
      </c>
      <c r="J27" t="s">
        <v>403</v>
      </c>
      <c r="L27">
        <v>225</v>
      </c>
      <c r="N27" t="s">
        <v>769</v>
      </c>
      <c r="P27">
        <v>9.32</v>
      </c>
    </row>
    <row r="28" spans="2:16">
      <c r="D28" s="134">
        <v>1112</v>
      </c>
      <c r="J28" t="s">
        <v>818</v>
      </c>
      <c r="L28">
        <v>125</v>
      </c>
    </row>
    <row r="29" spans="2:16" s="3" customFormat="1">
      <c r="B29" s="3" t="s">
        <v>401</v>
      </c>
    </row>
    <row r="30" spans="2:16" s="3" customFormat="1">
      <c r="B30" s="216" t="s">
        <v>7</v>
      </c>
      <c r="C30" s="216" t="s">
        <v>289</v>
      </c>
      <c r="D30" s="235" t="s">
        <v>398</v>
      </c>
      <c r="E30" s="236"/>
      <c r="F30" s="234" t="s">
        <v>418</v>
      </c>
      <c r="G30" s="67" t="s">
        <v>416</v>
      </c>
      <c r="H30" s="67" t="s">
        <v>270</v>
      </c>
      <c r="I30" s="100" t="s">
        <v>273</v>
      </c>
      <c r="J30" s="100" t="s">
        <v>417</v>
      </c>
      <c r="K30" s="100" t="s">
        <v>274</v>
      </c>
      <c r="L30" s="100" t="s">
        <v>275</v>
      </c>
      <c r="M30" s="100" t="s">
        <v>419</v>
      </c>
    </row>
    <row r="31" spans="2:16" s="3" customFormat="1">
      <c r="B31" s="217"/>
      <c r="C31" s="217"/>
      <c r="D31" s="64" t="s">
        <v>396</v>
      </c>
      <c r="E31" s="64" t="s">
        <v>397</v>
      </c>
      <c r="F31" s="234"/>
      <c r="G31" s="67">
        <v>67800</v>
      </c>
      <c r="H31" s="67">
        <v>2867</v>
      </c>
      <c r="I31" s="67">
        <v>6</v>
      </c>
      <c r="J31" s="100">
        <v>2326</v>
      </c>
      <c r="K31" s="100">
        <v>43</v>
      </c>
      <c r="L31" s="100">
        <v>9300</v>
      </c>
      <c r="M31" s="100">
        <v>19892</v>
      </c>
    </row>
    <row r="32" spans="2:16" s="3" customFormat="1">
      <c r="B32" s="83">
        <v>1</v>
      </c>
      <c r="C32" s="127" t="s">
        <v>312</v>
      </c>
      <c r="D32" s="83">
        <v>32.83</v>
      </c>
      <c r="E32" s="126">
        <f>(D32/$D$40)*100</f>
        <v>14.303764377831996</v>
      </c>
      <c r="F32" s="3" t="s">
        <v>411</v>
      </c>
    </row>
    <row r="33" spans="2:13" s="3" customFormat="1">
      <c r="B33" s="83">
        <v>2</v>
      </c>
      <c r="C33" s="127" t="s">
        <v>311</v>
      </c>
      <c r="D33" s="83">
        <v>13.24</v>
      </c>
      <c r="E33" s="126">
        <f t="shared" ref="E33:E39" si="1">(D33/$D$40)*100</f>
        <v>5.7685604740327641</v>
      </c>
      <c r="F33" s="3" t="s">
        <v>404</v>
      </c>
      <c r="G33" s="3">
        <v>881.3</v>
      </c>
      <c r="H33" s="129">
        <f>G33*L27*L22</f>
        <v>1982.925</v>
      </c>
    </row>
    <row r="34" spans="2:13" s="3" customFormat="1">
      <c r="B34" s="83">
        <v>3</v>
      </c>
      <c r="C34" s="127" t="s">
        <v>317</v>
      </c>
      <c r="D34" s="83">
        <v>15.29</v>
      </c>
      <c r="E34" s="126">
        <f t="shared" si="1"/>
        <v>6.661728825374694</v>
      </c>
      <c r="F34" s="99" t="s">
        <v>405</v>
      </c>
      <c r="G34" s="3">
        <v>756</v>
      </c>
      <c r="H34" s="130">
        <f>G34*L23*L22</f>
        <v>945</v>
      </c>
    </row>
    <row r="35" spans="2:13" s="3" customFormat="1">
      <c r="B35" s="2">
        <v>4</v>
      </c>
      <c r="C35" s="62" t="s">
        <v>402</v>
      </c>
      <c r="D35" s="2">
        <v>11.81</v>
      </c>
      <c r="E35" s="98">
        <f t="shared" si="1"/>
        <v>5.1455210874869293</v>
      </c>
      <c r="F35" s="99" t="s">
        <v>406</v>
      </c>
      <c r="G35" s="3">
        <v>68.2</v>
      </c>
      <c r="H35" s="129">
        <f>G35*P23*L22</f>
        <v>22.164999999999999</v>
      </c>
    </row>
    <row r="36" spans="2:13" s="3" customFormat="1">
      <c r="B36" s="2">
        <v>5</v>
      </c>
      <c r="C36" s="62" t="s">
        <v>318</v>
      </c>
      <c r="D36" s="2">
        <v>30.84</v>
      </c>
      <c r="E36" s="98">
        <f t="shared" si="1"/>
        <v>13.436737539212269</v>
      </c>
      <c r="F36" s="99" t="s">
        <v>407</v>
      </c>
      <c r="G36" s="3">
        <v>65.5</v>
      </c>
      <c r="H36" s="129">
        <f>G36*P23*L22</f>
        <v>21.287500000000001</v>
      </c>
    </row>
    <row r="37" spans="2:13" s="3" customFormat="1">
      <c r="B37" s="2">
        <v>6</v>
      </c>
      <c r="C37" s="62" t="s">
        <v>313</v>
      </c>
      <c r="D37" s="2">
        <v>44.99</v>
      </c>
      <c r="E37" s="98">
        <f t="shared" si="1"/>
        <v>19.601777622865111</v>
      </c>
      <c r="F37" s="99" t="s">
        <v>408</v>
      </c>
      <c r="G37" s="3">
        <v>15</v>
      </c>
      <c r="H37" s="130">
        <f>G37*P23*L22</f>
        <v>4.875</v>
      </c>
    </row>
    <row r="38" spans="2:13" s="3" customFormat="1">
      <c r="B38" s="83">
        <v>7</v>
      </c>
      <c r="C38" s="127" t="s">
        <v>314</v>
      </c>
      <c r="D38" s="83">
        <v>58.36</v>
      </c>
      <c r="E38" s="126">
        <f t="shared" si="1"/>
        <v>25.42697804112931</v>
      </c>
      <c r="F38" s="99" t="s">
        <v>409</v>
      </c>
      <c r="G38" s="3">
        <v>24</v>
      </c>
      <c r="H38" s="130">
        <f>G38*P23*L22</f>
        <v>7.8</v>
      </c>
    </row>
    <row r="39" spans="2:13" s="3" customFormat="1">
      <c r="B39" s="2">
        <v>8</v>
      </c>
      <c r="C39" s="62" t="s">
        <v>315</v>
      </c>
      <c r="D39" s="2">
        <v>22.16</v>
      </c>
      <c r="E39" s="98">
        <f t="shared" si="1"/>
        <v>9.6549320320669221</v>
      </c>
      <c r="F39" s="99" t="s">
        <v>410</v>
      </c>
      <c r="G39" s="3">
        <v>502.22</v>
      </c>
      <c r="H39" s="129">
        <f>G39*P23*L22</f>
        <v>163.22150000000002</v>
      </c>
    </row>
    <row r="40" spans="2:13" s="3" customFormat="1">
      <c r="B40" s="237" t="s">
        <v>263</v>
      </c>
      <c r="C40" s="238"/>
      <c r="D40" s="2">
        <f>SUM(D32:D39)</f>
        <v>229.52</v>
      </c>
      <c r="E40" s="2">
        <f>SUM(E32:E39)</f>
        <v>99.999999999999986</v>
      </c>
      <c r="F40" s="99" t="s">
        <v>412</v>
      </c>
      <c r="G40" s="3">
        <v>67</v>
      </c>
      <c r="H40" s="129">
        <f>G40*P23*L22</f>
        <v>21.775000000000002</v>
      </c>
    </row>
    <row r="41" spans="2:13">
      <c r="D41" s="134">
        <v>22952</v>
      </c>
      <c r="F41" s="99" t="s">
        <v>413</v>
      </c>
      <c r="G41" s="3">
        <v>47.75</v>
      </c>
      <c r="H41" s="129">
        <f>G41*L28*L22</f>
        <v>59.6875</v>
      </c>
    </row>
    <row r="42" spans="2:13">
      <c r="F42" s="99" t="s">
        <v>414</v>
      </c>
      <c r="G42">
        <v>685.45</v>
      </c>
      <c r="H42" s="129">
        <f>G42*P23*L22</f>
        <v>222.77125000000001</v>
      </c>
    </row>
    <row r="43" spans="2:13">
      <c r="F43" s="99" t="s">
        <v>415</v>
      </c>
      <c r="G43">
        <v>5</v>
      </c>
      <c r="H43" s="129">
        <f>G43*P23*L22</f>
        <v>1.625</v>
      </c>
    </row>
    <row r="45" spans="2:13" s="3" customFormat="1">
      <c r="B45" s="3" t="s">
        <v>423</v>
      </c>
    </row>
    <row r="46" spans="2:13" s="3" customFormat="1">
      <c r="B46" s="216" t="s">
        <v>7</v>
      </c>
      <c r="C46" s="216" t="s">
        <v>289</v>
      </c>
      <c r="D46" s="235" t="s">
        <v>398</v>
      </c>
      <c r="E46" s="236"/>
      <c r="F46" s="234" t="s">
        <v>418</v>
      </c>
      <c r="G46" s="67" t="s">
        <v>416</v>
      </c>
      <c r="H46" s="67" t="s">
        <v>270</v>
      </c>
      <c r="I46" s="100" t="s">
        <v>273</v>
      </c>
      <c r="J46" s="100" t="s">
        <v>417</v>
      </c>
      <c r="K46" s="100" t="s">
        <v>274</v>
      </c>
      <c r="L46" s="100" t="s">
        <v>275</v>
      </c>
      <c r="M46" s="100" t="s">
        <v>419</v>
      </c>
    </row>
    <row r="47" spans="2:13" s="3" customFormat="1">
      <c r="B47" s="217"/>
      <c r="C47" s="217"/>
      <c r="D47" s="64" t="s">
        <v>396</v>
      </c>
      <c r="E47" s="64" t="s">
        <v>397</v>
      </c>
      <c r="F47" s="234"/>
      <c r="G47" s="67">
        <v>18753</v>
      </c>
      <c r="H47" s="67">
        <v>0</v>
      </c>
      <c r="I47" s="67">
        <v>0</v>
      </c>
      <c r="J47" s="100">
        <v>0</v>
      </c>
      <c r="K47" s="100">
        <v>0</v>
      </c>
      <c r="L47" s="100">
        <v>0</v>
      </c>
      <c r="M47" s="100">
        <v>513</v>
      </c>
    </row>
    <row r="48" spans="2:13" s="3" customFormat="1">
      <c r="B48" s="2">
        <v>1</v>
      </c>
      <c r="C48" s="62" t="s">
        <v>301</v>
      </c>
      <c r="D48" s="2">
        <v>8.92</v>
      </c>
      <c r="E48" s="98">
        <f>(D48/$D$53)*100</f>
        <v>51.920838183934805</v>
      </c>
      <c r="F48" s="3" t="s">
        <v>411</v>
      </c>
    </row>
    <row r="49" spans="2:8" s="3" customFormat="1">
      <c r="B49" s="83">
        <v>2</v>
      </c>
      <c r="C49" s="127" t="s">
        <v>297</v>
      </c>
      <c r="D49" s="83">
        <v>1.49</v>
      </c>
      <c r="E49" s="126">
        <f>(D49/$D$53)*100</f>
        <v>8.6728754365541327</v>
      </c>
      <c r="F49" s="102" t="s">
        <v>404</v>
      </c>
      <c r="G49" s="3">
        <v>0</v>
      </c>
    </row>
    <row r="50" spans="2:8" s="3" customFormat="1">
      <c r="B50" s="83">
        <v>3</v>
      </c>
      <c r="C50" s="127" t="s">
        <v>298</v>
      </c>
      <c r="D50" s="83">
        <v>2.5</v>
      </c>
      <c r="E50" s="126">
        <f>(D50/$D$53)*100</f>
        <v>14.551804423748546</v>
      </c>
      <c r="F50" s="103" t="s">
        <v>405</v>
      </c>
      <c r="G50" s="3">
        <v>0</v>
      </c>
    </row>
    <row r="51" spans="2:8" s="3" customFormat="1">
      <c r="B51" s="83">
        <v>4</v>
      </c>
      <c r="C51" s="127" t="s">
        <v>300</v>
      </c>
      <c r="D51" s="83">
        <v>2.87</v>
      </c>
      <c r="E51" s="126">
        <f>(D51/$D$53)*100</f>
        <v>16.70547147846333</v>
      </c>
      <c r="F51" s="103" t="s">
        <v>406</v>
      </c>
      <c r="G51" s="3">
        <v>0</v>
      </c>
    </row>
    <row r="52" spans="2:8" s="3" customFormat="1">
      <c r="B52" s="83">
        <v>5</v>
      </c>
      <c r="C52" s="127" t="s">
        <v>299</v>
      </c>
      <c r="D52" s="83">
        <v>1.4</v>
      </c>
      <c r="E52" s="126">
        <f>(D52/$D$53)*100</f>
        <v>8.1490104772991838</v>
      </c>
      <c r="F52" s="103" t="s">
        <v>407</v>
      </c>
      <c r="G52" s="3">
        <v>2.5</v>
      </c>
      <c r="H52" s="129">
        <f>G52*P23*L22</f>
        <v>0.8125</v>
      </c>
    </row>
    <row r="53" spans="2:8" s="3" customFormat="1">
      <c r="B53" s="237" t="s">
        <v>263</v>
      </c>
      <c r="C53" s="238"/>
      <c r="D53" s="2">
        <f>SUM(D48:D52)</f>
        <v>17.18</v>
      </c>
      <c r="E53" s="2">
        <f>SUM(E48:E52)</f>
        <v>100</v>
      </c>
      <c r="F53" s="103" t="s">
        <v>412</v>
      </c>
      <c r="G53" s="3">
        <v>0</v>
      </c>
    </row>
    <row r="54" spans="2:8" s="3" customFormat="1">
      <c r="D54" s="135">
        <v>1718</v>
      </c>
      <c r="F54" s="103" t="s">
        <v>413</v>
      </c>
      <c r="G54" s="3">
        <v>0</v>
      </c>
    </row>
    <row r="55" spans="2:8" s="3" customFormat="1" ht="28.5">
      <c r="B55" s="1" t="s">
        <v>7</v>
      </c>
      <c r="C55" s="1" t="s">
        <v>420</v>
      </c>
      <c r="D55" s="1" t="s">
        <v>421</v>
      </c>
      <c r="E55" s="1" t="s">
        <v>422</v>
      </c>
      <c r="F55" s="103" t="s">
        <v>414</v>
      </c>
      <c r="G55" s="3">
        <v>0</v>
      </c>
    </row>
    <row r="56" spans="2:8" s="3" customFormat="1">
      <c r="B56" s="62">
        <v>1</v>
      </c>
      <c r="C56" s="62" t="s">
        <v>301</v>
      </c>
      <c r="D56" s="62">
        <v>0</v>
      </c>
      <c r="E56" s="101">
        <f>(D56/$D$61)*100</f>
        <v>0</v>
      </c>
      <c r="F56" s="103" t="s">
        <v>415</v>
      </c>
      <c r="G56" s="3">
        <v>0</v>
      </c>
    </row>
    <row r="57" spans="2:8">
      <c r="B57" s="127">
        <v>2</v>
      </c>
      <c r="C57" s="127" t="s">
        <v>297</v>
      </c>
      <c r="D57" s="127">
        <v>150</v>
      </c>
      <c r="E57" s="128">
        <f>(D57/$D$61)*100</f>
        <v>78.94736842105263</v>
      </c>
    </row>
    <row r="58" spans="2:8">
      <c r="B58" s="127">
        <v>3</v>
      </c>
      <c r="C58" s="127" t="s">
        <v>298</v>
      </c>
      <c r="D58" s="127">
        <v>0</v>
      </c>
      <c r="E58" s="128">
        <f>(D58/$D$61)*100</f>
        <v>0</v>
      </c>
    </row>
    <row r="59" spans="2:8">
      <c r="B59" s="127">
        <v>4</v>
      </c>
      <c r="C59" s="127" t="s">
        <v>300</v>
      </c>
      <c r="D59" s="127">
        <v>0</v>
      </c>
      <c r="E59" s="128">
        <f>(D59/$D$61)*100</f>
        <v>0</v>
      </c>
    </row>
    <row r="60" spans="2:8">
      <c r="B60" s="127">
        <v>5</v>
      </c>
      <c r="C60" s="127" t="s">
        <v>299</v>
      </c>
      <c r="D60" s="127">
        <v>40</v>
      </c>
      <c r="E60" s="128">
        <f>(D60/$D$61)*100</f>
        <v>21.052631578947366</v>
      </c>
    </row>
    <row r="61" spans="2:8">
      <c r="B61" s="239" t="s">
        <v>263</v>
      </c>
      <c r="C61" s="239"/>
      <c r="D61" s="62">
        <f>SUM(D56:D60)</f>
        <v>190</v>
      </c>
      <c r="E61" s="62">
        <f>SUM(E56:E60)</f>
        <v>100</v>
      </c>
    </row>
    <row r="64" spans="2:8" s="3" customFormat="1">
      <c r="B64" s="3" t="s">
        <v>424</v>
      </c>
    </row>
    <row r="65" spans="2:13" s="3" customFormat="1">
      <c r="B65" s="216" t="s">
        <v>7</v>
      </c>
      <c r="C65" s="216" t="s">
        <v>289</v>
      </c>
      <c r="D65" s="235" t="s">
        <v>398</v>
      </c>
      <c r="E65" s="236"/>
      <c r="F65" s="234" t="s">
        <v>418</v>
      </c>
      <c r="G65" s="67" t="s">
        <v>416</v>
      </c>
      <c r="H65" s="67" t="s">
        <v>270</v>
      </c>
      <c r="I65" s="100" t="s">
        <v>273</v>
      </c>
      <c r="J65" s="100" t="s">
        <v>417</v>
      </c>
      <c r="K65" s="100" t="s">
        <v>274</v>
      </c>
      <c r="L65" s="100" t="s">
        <v>275</v>
      </c>
      <c r="M65" s="100" t="s">
        <v>419</v>
      </c>
    </row>
    <row r="66" spans="2:13" s="3" customFormat="1">
      <c r="B66" s="217"/>
      <c r="C66" s="217"/>
      <c r="D66" s="64" t="s">
        <v>396</v>
      </c>
      <c r="E66" s="64" t="s">
        <v>397</v>
      </c>
      <c r="F66" s="234"/>
      <c r="G66" s="67">
        <v>28093</v>
      </c>
      <c r="H66" s="67">
        <v>265</v>
      </c>
      <c r="I66" s="67">
        <v>0</v>
      </c>
      <c r="J66" s="100">
        <v>109</v>
      </c>
      <c r="K66" s="100">
        <v>0</v>
      </c>
      <c r="L66" s="100">
        <v>291</v>
      </c>
      <c r="M66" s="100">
        <v>1000</v>
      </c>
    </row>
    <row r="67" spans="2:13" s="3" customFormat="1">
      <c r="B67" s="2">
        <v>1</v>
      </c>
      <c r="C67" s="62" t="s">
        <v>425</v>
      </c>
      <c r="D67" s="2">
        <v>0.69</v>
      </c>
      <c r="E67" s="98">
        <f>(D67/$D$75)*100</f>
        <v>3.1193490054249549</v>
      </c>
      <c r="F67" s="3" t="s">
        <v>411</v>
      </c>
    </row>
    <row r="68" spans="2:13" s="3" customFormat="1">
      <c r="B68" s="2">
        <v>2</v>
      </c>
      <c r="C68" s="62" t="s">
        <v>290</v>
      </c>
      <c r="D68" s="2">
        <v>7.68</v>
      </c>
      <c r="E68" s="98">
        <f t="shared" ref="E68:E74" si="2">(D68/$D$75)*100</f>
        <v>34.719710669077756</v>
      </c>
      <c r="F68" s="3" t="s">
        <v>404</v>
      </c>
      <c r="G68" s="3">
        <v>0</v>
      </c>
    </row>
    <row r="69" spans="2:13" s="3" customFormat="1">
      <c r="B69" s="83">
        <v>3</v>
      </c>
      <c r="C69" s="127" t="s">
        <v>294</v>
      </c>
      <c r="D69" s="83">
        <v>2.89</v>
      </c>
      <c r="E69" s="126">
        <f t="shared" si="2"/>
        <v>13.065099457504523</v>
      </c>
      <c r="F69" s="99" t="s">
        <v>405</v>
      </c>
      <c r="G69" s="3">
        <v>0</v>
      </c>
    </row>
    <row r="70" spans="2:13" s="3" customFormat="1">
      <c r="B70" s="83">
        <v>4</v>
      </c>
      <c r="C70" s="124" t="s">
        <v>292</v>
      </c>
      <c r="D70" s="125">
        <v>1.37</v>
      </c>
      <c r="E70" s="126">
        <f t="shared" si="2"/>
        <v>6.1934900542495495</v>
      </c>
      <c r="F70" s="99" t="s">
        <v>406</v>
      </c>
      <c r="G70" s="3">
        <v>0</v>
      </c>
    </row>
    <row r="71" spans="2:13" s="3" customFormat="1">
      <c r="B71" s="83">
        <v>5</v>
      </c>
      <c r="C71" s="127" t="s">
        <v>295</v>
      </c>
      <c r="D71" s="83">
        <v>1.19</v>
      </c>
      <c r="E71" s="126">
        <f t="shared" si="2"/>
        <v>5.3797468354430382</v>
      </c>
      <c r="F71" s="99" t="s">
        <v>407</v>
      </c>
      <c r="G71" s="3">
        <v>2</v>
      </c>
      <c r="H71" s="130">
        <f>G71*P23*L22</f>
        <v>0.65</v>
      </c>
    </row>
    <row r="72" spans="2:13" s="3" customFormat="1">
      <c r="B72" s="83">
        <v>6</v>
      </c>
      <c r="C72" s="127" t="s">
        <v>293</v>
      </c>
      <c r="D72" s="83">
        <v>2.65</v>
      </c>
      <c r="E72" s="126">
        <f t="shared" si="2"/>
        <v>11.980108499095842</v>
      </c>
      <c r="F72" s="99" t="s">
        <v>408</v>
      </c>
      <c r="G72" s="3">
        <v>0</v>
      </c>
      <c r="J72" s="104"/>
    </row>
    <row r="73" spans="2:13" s="3" customFormat="1">
      <c r="B73" s="2">
        <v>7</v>
      </c>
      <c r="C73" s="62" t="s">
        <v>291</v>
      </c>
      <c r="D73" s="2">
        <v>2.16</v>
      </c>
      <c r="E73" s="98">
        <f t="shared" si="2"/>
        <v>9.7649186256781206</v>
      </c>
      <c r="F73" s="99" t="s">
        <v>409</v>
      </c>
      <c r="G73" s="3">
        <v>0</v>
      </c>
    </row>
    <row r="74" spans="2:13" s="3" customFormat="1">
      <c r="B74" s="2">
        <v>8</v>
      </c>
      <c r="C74" s="62" t="s">
        <v>296</v>
      </c>
      <c r="D74" s="2">
        <v>3.49</v>
      </c>
      <c r="E74" s="98">
        <f t="shared" si="2"/>
        <v>15.777576853526224</v>
      </c>
      <c r="F74" s="99" t="s">
        <v>410</v>
      </c>
      <c r="G74" s="3">
        <v>35</v>
      </c>
      <c r="H74" s="129">
        <f>G74*P23*L22</f>
        <v>11.375</v>
      </c>
    </row>
    <row r="75" spans="2:13" s="3" customFormat="1">
      <c r="B75" s="237" t="s">
        <v>263</v>
      </c>
      <c r="C75" s="238"/>
      <c r="D75" s="2">
        <f>SUM(D67:D74)</f>
        <v>22.119999999999997</v>
      </c>
      <c r="E75" s="2">
        <f>SUM(E67:E74)</f>
        <v>100.00000000000001</v>
      </c>
      <c r="F75" s="99" t="s">
        <v>412</v>
      </c>
      <c r="G75" s="3">
        <v>12</v>
      </c>
      <c r="H75" s="130">
        <f>G75*P23*L22</f>
        <v>3.9</v>
      </c>
    </row>
    <row r="76" spans="2:13" s="3" customFormat="1">
      <c r="D76" s="135">
        <v>2212</v>
      </c>
      <c r="F76" s="99" t="s">
        <v>413</v>
      </c>
      <c r="G76" s="3">
        <v>0</v>
      </c>
    </row>
    <row r="77" spans="2:13" s="3" customFormat="1">
      <c r="F77" s="99" t="s">
        <v>414</v>
      </c>
      <c r="G77" s="3">
        <v>0</v>
      </c>
    </row>
    <row r="78" spans="2:13" s="3" customFormat="1">
      <c r="F78" s="99" t="s">
        <v>415</v>
      </c>
      <c r="G78" s="3">
        <v>0</v>
      </c>
    </row>
    <row r="79" spans="2:13">
      <c r="F79" s="99" t="s">
        <v>426</v>
      </c>
      <c r="G79">
        <v>2</v>
      </c>
    </row>
    <row r="80" spans="2:13">
      <c r="F80" s="99" t="s">
        <v>427</v>
      </c>
      <c r="G80">
        <v>1</v>
      </c>
    </row>
    <row r="82" spans="2:13" s="3" customFormat="1">
      <c r="B82" s="3" t="s">
        <v>428</v>
      </c>
    </row>
    <row r="83" spans="2:13" s="3" customFormat="1">
      <c r="B83" s="216" t="s">
        <v>7</v>
      </c>
      <c r="C83" s="216" t="s">
        <v>289</v>
      </c>
      <c r="D83" s="235" t="s">
        <v>398</v>
      </c>
      <c r="E83" s="236"/>
      <c r="F83" s="234" t="s">
        <v>418</v>
      </c>
      <c r="G83" s="67" t="s">
        <v>416</v>
      </c>
      <c r="H83" s="67" t="s">
        <v>270</v>
      </c>
      <c r="I83" s="100" t="s">
        <v>273</v>
      </c>
      <c r="J83" s="100" t="s">
        <v>417</v>
      </c>
      <c r="K83" s="100" t="s">
        <v>274</v>
      </c>
      <c r="L83" s="100" t="s">
        <v>275</v>
      </c>
      <c r="M83" s="100" t="s">
        <v>419</v>
      </c>
    </row>
    <row r="84" spans="2:13" s="3" customFormat="1">
      <c r="B84" s="217"/>
      <c r="C84" s="217"/>
      <c r="D84" s="64" t="s">
        <v>396</v>
      </c>
      <c r="E84" s="64" t="s">
        <v>397</v>
      </c>
      <c r="F84" s="234"/>
      <c r="G84" s="67">
        <v>0</v>
      </c>
      <c r="H84" s="67">
        <v>0</v>
      </c>
      <c r="I84" s="67">
        <v>0</v>
      </c>
      <c r="J84" s="100">
        <v>0</v>
      </c>
      <c r="K84" s="100">
        <v>0</v>
      </c>
      <c r="L84" s="100">
        <v>0</v>
      </c>
      <c r="M84" s="100">
        <v>0</v>
      </c>
    </row>
    <row r="85" spans="2:13" s="3" customFormat="1">
      <c r="B85" s="83">
        <v>1</v>
      </c>
      <c r="C85" s="127" t="s">
        <v>308</v>
      </c>
      <c r="D85" s="83">
        <v>8.9700000000000006</v>
      </c>
      <c r="E85" s="126">
        <f>(D85/$D$90)*100</f>
        <v>26.25878220140515</v>
      </c>
      <c r="F85" s="3" t="s">
        <v>411</v>
      </c>
    </row>
    <row r="86" spans="2:13" s="3" customFormat="1">
      <c r="B86" s="83">
        <v>2</v>
      </c>
      <c r="C86" s="127" t="s">
        <v>307</v>
      </c>
      <c r="D86" s="83">
        <v>1.3</v>
      </c>
      <c r="E86" s="126">
        <f>(D86/$D$90)*100</f>
        <v>3.8056206088992974</v>
      </c>
      <c r="F86" s="102" t="s">
        <v>404</v>
      </c>
      <c r="G86" s="3">
        <v>0</v>
      </c>
    </row>
    <row r="87" spans="2:13" s="3" customFormat="1">
      <c r="B87" s="83">
        <v>3</v>
      </c>
      <c r="C87" s="127" t="s">
        <v>309</v>
      </c>
      <c r="D87" s="83">
        <v>10.94</v>
      </c>
      <c r="E87" s="126">
        <f>(D87/$D$90)*100</f>
        <v>32.025761124121779</v>
      </c>
      <c r="F87" s="103" t="s">
        <v>405</v>
      </c>
      <c r="G87" s="3">
        <v>0</v>
      </c>
    </row>
    <row r="88" spans="2:13" s="3" customFormat="1">
      <c r="B88" s="83">
        <v>4</v>
      </c>
      <c r="C88" s="127" t="s">
        <v>310</v>
      </c>
      <c r="D88" s="83">
        <v>8.59</v>
      </c>
      <c r="E88" s="126">
        <f>(D88/$D$90)*100</f>
        <v>25.146370023419202</v>
      </c>
      <c r="F88" s="103" t="s">
        <v>406</v>
      </c>
      <c r="G88" s="3">
        <v>0</v>
      </c>
    </row>
    <row r="89" spans="2:13" s="3" customFormat="1">
      <c r="B89" s="83">
        <v>5</v>
      </c>
      <c r="C89" s="127" t="s">
        <v>5</v>
      </c>
      <c r="D89" s="83">
        <v>4.3600000000000003</v>
      </c>
      <c r="E89" s="126">
        <f>(D89/$D$90)*100</f>
        <v>12.763466042154567</v>
      </c>
      <c r="F89" s="103" t="s">
        <v>407</v>
      </c>
      <c r="G89" s="3">
        <v>2.5</v>
      </c>
      <c r="H89" s="129">
        <f>G89*P23*L22</f>
        <v>0.8125</v>
      </c>
    </row>
    <row r="90" spans="2:13" s="3" customFormat="1">
      <c r="B90" s="237" t="s">
        <v>263</v>
      </c>
      <c r="C90" s="238"/>
      <c r="D90" s="2">
        <f>SUM(D85:D89)</f>
        <v>34.160000000000004</v>
      </c>
      <c r="E90" s="2">
        <f>SUM(E85:E89)</f>
        <v>100</v>
      </c>
      <c r="F90" s="103" t="s">
        <v>412</v>
      </c>
      <c r="G90" s="3">
        <v>0</v>
      </c>
    </row>
    <row r="91" spans="2:13" s="3" customFormat="1">
      <c r="D91" s="135">
        <v>3416</v>
      </c>
      <c r="F91" s="103" t="s">
        <v>413</v>
      </c>
      <c r="G91" s="3">
        <v>0</v>
      </c>
    </row>
    <row r="92" spans="2:13" s="3" customFormat="1" ht="28.5">
      <c r="B92" s="1" t="s">
        <v>7</v>
      </c>
      <c r="C92" s="1" t="s">
        <v>420</v>
      </c>
      <c r="D92" s="1" t="s">
        <v>421</v>
      </c>
      <c r="E92" s="1" t="s">
        <v>422</v>
      </c>
      <c r="F92" s="103" t="s">
        <v>414</v>
      </c>
      <c r="G92" s="3">
        <v>0</v>
      </c>
    </row>
    <row r="93" spans="2:13" s="3" customFormat="1">
      <c r="B93" s="62">
        <v>1</v>
      </c>
      <c r="C93" s="62" t="s">
        <v>301</v>
      </c>
      <c r="D93" s="62">
        <v>0</v>
      </c>
      <c r="E93" s="101">
        <f>(D93/$D$61)*100</f>
        <v>0</v>
      </c>
      <c r="F93" s="103" t="s">
        <v>415</v>
      </c>
      <c r="G93" s="3">
        <v>0</v>
      </c>
    </row>
    <row r="94" spans="2:13" s="3" customFormat="1">
      <c r="B94" s="62">
        <v>2</v>
      </c>
      <c r="C94" s="62" t="s">
        <v>297</v>
      </c>
      <c r="D94" s="62">
        <v>0</v>
      </c>
      <c r="E94" s="101">
        <f>(D94/$D$61)*100</f>
        <v>0</v>
      </c>
    </row>
    <row r="95" spans="2:13" s="3" customFormat="1">
      <c r="B95" s="62">
        <v>3</v>
      </c>
      <c r="C95" s="62" t="s">
        <v>298</v>
      </c>
      <c r="D95" s="62">
        <v>0</v>
      </c>
      <c r="E95" s="101">
        <f>(D95/$D$61)*100</f>
        <v>0</v>
      </c>
    </row>
    <row r="96" spans="2:13" s="3" customFormat="1">
      <c r="B96" s="62">
        <v>4</v>
      </c>
      <c r="C96" s="62" t="s">
        <v>300</v>
      </c>
      <c r="D96" s="62">
        <v>0</v>
      </c>
      <c r="E96" s="101">
        <f>(D96/$D$61)*100</f>
        <v>0</v>
      </c>
    </row>
    <row r="97" spans="2:6" s="3" customFormat="1">
      <c r="B97" s="62">
        <v>5</v>
      </c>
      <c r="C97" s="62" t="s">
        <v>299</v>
      </c>
      <c r="D97" s="62">
        <v>0</v>
      </c>
      <c r="E97" s="101">
        <f>(D97/$D$61)*100</f>
        <v>0</v>
      </c>
    </row>
    <row r="98" spans="2:6" s="3" customFormat="1">
      <c r="B98" s="239" t="s">
        <v>263</v>
      </c>
      <c r="C98" s="239"/>
      <c r="D98" s="62">
        <f>SUM(D93:D97)</f>
        <v>0</v>
      </c>
      <c r="E98" s="62">
        <f>SUM(E93:E97)</f>
        <v>0</v>
      </c>
    </row>
    <row r="102" spans="2:6" ht="14.65" thickBot="1"/>
    <row r="103" spans="2:6" ht="15" thickTop="1" thickBot="1">
      <c r="C103" s="111" t="s">
        <v>278</v>
      </c>
      <c r="D103" s="111" t="s">
        <v>773</v>
      </c>
      <c r="E103" s="146" t="s">
        <v>890</v>
      </c>
    </row>
    <row r="104" spans="2:6" ht="14.65" thickTop="1">
      <c r="C104" s="66" t="s">
        <v>282</v>
      </c>
      <c r="D104" s="67">
        <f>D28</f>
        <v>1112</v>
      </c>
      <c r="E104" s="67">
        <v>1112</v>
      </c>
      <c r="F104" s="161">
        <f>E104/E109</f>
        <v>8.629520409747013E-2</v>
      </c>
    </row>
    <row r="105" spans="2:6">
      <c r="C105" s="66" t="s">
        <v>272</v>
      </c>
      <c r="D105" s="67">
        <f>D41</f>
        <v>22952</v>
      </c>
      <c r="E105" s="67">
        <v>6722</v>
      </c>
      <c r="F105" s="161">
        <f>E105/E109</f>
        <v>0.52165140462517456</v>
      </c>
    </row>
    <row r="106" spans="2:6">
      <c r="C106" s="66" t="s">
        <v>281</v>
      </c>
      <c r="D106" s="67">
        <f>D54</f>
        <v>1718</v>
      </c>
      <c r="E106" s="67">
        <v>826</v>
      </c>
      <c r="F106" s="161">
        <f>E106/E109</f>
        <v>6.4100574266645977E-2</v>
      </c>
    </row>
    <row r="107" spans="2:6">
      <c r="C107" s="66" t="s">
        <v>269</v>
      </c>
      <c r="D107" s="67">
        <f>D76</f>
        <v>2212</v>
      </c>
      <c r="E107" s="67">
        <v>810</v>
      </c>
      <c r="F107" s="161">
        <f>E107/E109</f>
        <v>6.2858916653732735E-2</v>
      </c>
    </row>
    <row r="108" spans="2:6" ht="14.65" thickBot="1">
      <c r="C108" s="66" t="s">
        <v>276</v>
      </c>
      <c r="D108" s="67">
        <f>D91</f>
        <v>3416</v>
      </c>
      <c r="E108" s="67">
        <v>3416</v>
      </c>
      <c r="F108" s="161">
        <f>E108/E109</f>
        <v>0.26509390035697655</v>
      </c>
    </row>
    <row r="109" spans="2:6" ht="15" thickTop="1" thickBot="1">
      <c r="C109" s="109"/>
      <c r="D109" s="114">
        <f>SUM(D104:D108)</f>
        <v>31410</v>
      </c>
      <c r="E109" s="114">
        <f>SUM(E104:E108)</f>
        <v>12886</v>
      </c>
      <c r="F109" s="161">
        <f>SUM(F104:F108)</f>
        <v>1</v>
      </c>
    </row>
    <row r="110" spans="2:6" ht="14.65" thickTop="1"/>
    <row r="112" spans="2:6">
      <c r="C112" s="143" t="s">
        <v>398</v>
      </c>
      <c r="D112" s="143" t="s">
        <v>833</v>
      </c>
    </row>
    <row r="113" spans="3:7">
      <c r="C113" s="121" t="s">
        <v>891</v>
      </c>
      <c r="D113" s="67">
        <f>D109-E109</f>
        <v>18524</v>
      </c>
      <c r="G113" s="68"/>
    </row>
    <row r="114" spans="3:7">
      <c r="C114" s="71" t="s">
        <v>282</v>
      </c>
      <c r="D114" s="67">
        <v>1112</v>
      </c>
      <c r="G114" s="68"/>
    </row>
    <row r="115" spans="3:7">
      <c r="C115" s="71" t="s">
        <v>272</v>
      </c>
      <c r="D115" s="67">
        <v>6722</v>
      </c>
      <c r="G115" s="68"/>
    </row>
    <row r="116" spans="3:7">
      <c r="C116" s="71" t="s">
        <v>281</v>
      </c>
      <c r="D116" s="67">
        <v>826</v>
      </c>
      <c r="G116" s="68"/>
    </row>
    <row r="117" spans="3:7">
      <c r="C117" s="71" t="s">
        <v>269</v>
      </c>
      <c r="D117" s="67">
        <v>810</v>
      </c>
    </row>
    <row r="118" spans="3:7">
      <c r="C118" s="71" t="s">
        <v>276</v>
      </c>
      <c r="D118" s="67">
        <v>3416</v>
      </c>
    </row>
    <row r="120" spans="3:7">
      <c r="D120" s="136">
        <f>(D114/E109)</f>
        <v>8.629520409747013E-2</v>
      </c>
    </row>
    <row r="121" spans="3:7">
      <c r="D121" s="136">
        <f>(D115/E109)</f>
        <v>0.52165140462517456</v>
      </c>
    </row>
    <row r="122" spans="3:7">
      <c r="D122" s="136">
        <f>D116/E109</f>
        <v>6.4100574266645977E-2</v>
      </c>
    </row>
    <row r="123" spans="3:7">
      <c r="D123" s="136">
        <f>D117/E109</f>
        <v>6.2858916653732735E-2</v>
      </c>
    </row>
    <row r="124" spans="3:7">
      <c r="D124" s="136">
        <f>D118/E109</f>
        <v>0.26509390035697655</v>
      </c>
    </row>
  </sheetData>
  <mergeCells count="32">
    <mergeCell ref="B90:C90"/>
    <mergeCell ref="B98:C98"/>
    <mergeCell ref="B65:B66"/>
    <mergeCell ref="C65:C66"/>
    <mergeCell ref="D65:E65"/>
    <mergeCell ref="F65:F66"/>
    <mergeCell ref="B75:C75"/>
    <mergeCell ref="B83:B84"/>
    <mergeCell ref="C83:C84"/>
    <mergeCell ref="D83:E83"/>
    <mergeCell ref="F83:F84"/>
    <mergeCell ref="B61:C61"/>
    <mergeCell ref="B40:C40"/>
    <mergeCell ref="B46:B47"/>
    <mergeCell ref="C46:C47"/>
    <mergeCell ref="D46:E46"/>
    <mergeCell ref="B53:C53"/>
    <mergeCell ref="F30:F31"/>
    <mergeCell ref="F46:F47"/>
    <mergeCell ref="B20:B21"/>
    <mergeCell ref="C20:C21"/>
    <mergeCell ref="D20:E20"/>
    <mergeCell ref="B27:C27"/>
    <mergeCell ref="B30:B31"/>
    <mergeCell ref="C30:C31"/>
    <mergeCell ref="D30:E30"/>
    <mergeCell ref="G3:G4"/>
    <mergeCell ref="D3:E3"/>
    <mergeCell ref="B3:B4"/>
    <mergeCell ref="C3:C4"/>
    <mergeCell ref="B15:C15"/>
    <mergeCell ref="F3:F4"/>
  </mergeCells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F43FFA-51F1-4D39-9B37-29CA835EC479}">
  <dimension ref="B2:BL122"/>
  <sheetViews>
    <sheetView topLeftCell="W41" workbookViewId="0">
      <selection activeCell="W54" sqref="W54"/>
    </sheetView>
  </sheetViews>
  <sheetFormatPr defaultRowHeight="14.25"/>
  <cols>
    <col min="2" max="2" width="12.9296875" customWidth="1"/>
    <col min="3" max="3" width="9.265625" bestFit="1" customWidth="1"/>
    <col min="9" max="10" width="14.3984375" customWidth="1"/>
    <col min="11" max="11" width="12.9296875" customWidth="1"/>
    <col min="12" max="12" width="12.9296875" style="3" customWidth="1"/>
  </cols>
  <sheetData>
    <row r="2" spans="2:63">
      <c r="B2" s="69" t="s">
        <v>335</v>
      </c>
      <c r="C2" s="264" t="s">
        <v>8</v>
      </c>
      <c r="D2" s="265"/>
      <c r="E2" s="265"/>
      <c r="F2" s="265"/>
      <c r="G2" s="265"/>
      <c r="H2" s="265"/>
      <c r="I2" s="265"/>
      <c r="J2" s="265"/>
      <c r="K2" s="265"/>
      <c r="L2" s="265"/>
      <c r="M2" s="265"/>
      <c r="N2" s="265"/>
      <c r="O2" s="265"/>
      <c r="P2" s="265"/>
    </row>
    <row r="3" spans="2:63" ht="15.75" customHeight="1">
      <c r="B3" s="260" t="s">
        <v>334</v>
      </c>
      <c r="C3" s="257" t="s">
        <v>339</v>
      </c>
      <c r="D3" s="258"/>
      <c r="E3" s="259"/>
      <c r="F3" s="257" t="s">
        <v>340</v>
      </c>
      <c r="G3" s="258"/>
      <c r="H3" s="259"/>
      <c r="I3" s="262" t="s">
        <v>342</v>
      </c>
      <c r="J3" s="262" t="s">
        <v>343</v>
      </c>
      <c r="K3" s="262" t="s">
        <v>344</v>
      </c>
      <c r="L3" s="266" t="s">
        <v>345</v>
      </c>
      <c r="M3" s="267"/>
      <c r="N3" s="216" t="s">
        <v>825</v>
      </c>
      <c r="O3" s="262" t="s">
        <v>827</v>
      </c>
      <c r="P3" s="262" t="s">
        <v>888</v>
      </c>
      <c r="Q3" t="s">
        <v>734</v>
      </c>
      <c r="R3">
        <v>0.51400000000000001</v>
      </c>
      <c r="AL3" s="71" t="s">
        <v>894</v>
      </c>
      <c r="AU3" s="71" t="s">
        <v>901</v>
      </c>
      <c r="AV3" s="3"/>
      <c r="AW3" s="3"/>
      <c r="AX3" s="3"/>
      <c r="AY3" s="3"/>
      <c r="AZ3" s="3"/>
      <c r="BA3" s="3"/>
      <c r="BD3" s="71" t="s">
        <v>903</v>
      </c>
      <c r="BE3" s="3"/>
      <c r="BF3" s="3"/>
      <c r="BG3" s="3"/>
      <c r="BH3" s="3"/>
      <c r="BI3" s="3"/>
      <c r="BJ3" s="3"/>
      <c r="BK3" s="3"/>
    </row>
    <row r="4" spans="2:63" ht="15.75">
      <c r="B4" s="261"/>
      <c r="C4" s="64" t="s">
        <v>341</v>
      </c>
      <c r="D4" s="64" t="s">
        <v>337</v>
      </c>
      <c r="E4" s="64" t="s">
        <v>338</v>
      </c>
      <c r="F4" s="64" t="s">
        <v>341</v>
      </c>
      <c r="G4" s="64" t="s">
        <v>337</v>
      </c>
      <c r="H4" s="64" t="s">
        <v>338</v>
      </c>
      <c r="I4" s="263"/>
      <c r="J4" s="263"/>
      <c r="K4" s="263"/>
      <c r="L4" s="89" t="s">
        <v>346</v>
      </c>
      <c r="M4" s="90" t="s">
        <v>347</v>
      </c>
      <c r="N4" s="217"/>
      <c r="O4" s="263"/>
      <c r="P4" s="263"/>
      <c r="AL4" s="3"/>
      <c r="AM4" s="3">
        <v>2014</v>
      </c>
      <c r="AN4" s="3">
        <v>2015</v>
      </c>
      <c r="AO4" s="3">
        <v>2016</v>
      </c>
      <c r="AP4" s="3">
        <v>2017</v>
      </c>
      <c r="AQ4" s="3">
        <v>2018</v>
      </c>
      <c r="AR4" s="3">
        <v>2019</v>
      </c>
      <c r="AS4" s="3"/>
      <c r="AU4" s="3"/>
      <c r="AV4" s="3">
        <v>2015</v>
      </c>
      <c r="AW4" s="3">
        <v>2016</v>
      </c>
      <c r="AX4" s="3">
        <v>2017</v>
      </c>
      <c r="AY4" s="3">
        <v>2018</v>
      </c>
      <c r="AZ4" s="3">
        <v>2019</v>
      </c>
      <c r="BA4" s="3"/>
      <c r="BD4" s="3"/>
      <c r="BE4" s="3">
        <v>2014</v>
      </c>
      <c r="BF4" s="3">
        <v>2015</v>
      </c>
      <c r="BG4" s="3">
        <v>2016</v>
      </c>
      <c r="BH4" s="3">
        <v>2017</v>
      </c>
      <c r="BI4" s="3">
        <v>2018</v>
      </c>
      <c r="BJ4" s="3">
        <v>2019</v>
      </c>
      <c r="BK4" s="3"/>
    </row>
    <row r="5" spans="2:63">
      <c r="B5" s="91">
        <v>2019</v>
      </c>
      <c r="C5" s="254"/>
      <c r="D5" s="255"/>
      <c r="E5" s="255"/>
      <c r="F5" s="255"/>
      <c r="G5" s="255"/>
      <c r="H5" s="255"/>
      <c r="I5" s="255"/>
      <c r="J5" s="255"/>
      <c r="K5" s="255"/>
      <c r="L5" s="255"/>
      <c r="M5" s="255"/>
      <c r="N5" s="255"/>
      <c r="O5" s="256"/>
      <c r="U5">
        <v>2014</v>
      </c>
      <c r="V5">
        <v>2015</v>
      </c>
      <c r="W5">
        <v>2016</v>
      </c>
      <c r="X5">
        <v>2017</v>
      </c>
      <c r="Y5">
        <v>2018</v>
      </c>
      <c r="Z5">
        <v>2019</v>
      </c>
      <c r="AL5" s="88" t="s">
        <v>348</v>
      </c>
      <c r="AM5" s="62">
        <v>27.1</v>
      </c>
      <c r="AN5" s="62">
        <v>26.9</v>
      </c>
      <c r="AO5" s="62">
        <v>28.7</v>
      </c>
      <c r="AP5" s="62">
        <v>27.4</v>
      </c>
      <c r="AQ5" s="62">
        <v>27.6</v>
      </c>
      <c r="AR5" s="62">
        <v>27.7</v>
      </c>
      <c r="AS5" s="149">
        <f>AVERAGE(AM5:AR5)</f>
        <v>27.566666666666663</v>
      </c>
      <c r="AU5" s="88" t="s">
        <v>348</v>
      </c>
      <c r="AV5" s="62">
        <v>1.028</v>
      </c>
      <c r="AW5" s="62">
        <v>3.0840000000000001</v>
      </c>
      <c r="AX5" s="62">
        <v>1.542</v>
      </c>
      <c r="AY5" s="62">
        <v>2.056</v>
      </c>
      <c r="AZ5" s="62">
        <v>2.056</v>
      </c>
      <c r="BA5" s="149">
        <f t="shared" ref="BA5:BA16" si="0">AVERAGE(AV5:AZ5)</f>
        <v>1.9532</v>
      </c>
      <c r="BD5" s="88" t="s">
        <v>348</v>
      </c>
      <c r="BE5" s="62">
        <v>33.4</v>
      </c>
      <c r="BF5" s="62">
        <v>31</v>
      </c>
      <c r="BG5" s="62">
        <v>66</v>
      </c>
      <c r="BH5" s="62">
        <v>38</v>
      </c>
      <c r="BI5" s="62">
        <v>42</v>
      </c>
      <c r="BJ5" s="62">
        <v>38</v>
      </c>
      <c r="BK5" s="149">
        <f>AVERAGE(BE5:BJ5)</f>
        <v>41.4</v>
      </c>
    </row>
    <row r="6" spans="2:63">
      <c r="B6" s="88" t="s">
        <v>348</v>
      </c>
      <c r="C6" s="62">
        <v>23.7</v>
      </c>
      <c r="D6" s="62">
        <v>32.4</v>
      </c>
      <c r="E6" s="62">
        <v>27.7</v>
      </c>
      <c r="F6" s="62">
        <v>63</v>
      </c>
      <c r="G6" s="62">
        <v>91</v>
      </c>
      <c r="H6" s="62">
        <v>80</v>
      </c>
      <c r="I6" s="62">
        <v>1012.8</v>
      </c>
      <c r="J6" s="62">
        <v>4</v>
      </c>
      <c r="K6" s="62">
        <v>38</v>
      </c>
      <c r="L6" s="62">
        <v>179.9</v>
      </c>
      <c r="M6" s="62">
        <v>15</v>
      </c>
      <c r="N6" s="137">
        <v>24</v>
      </c>
      <c r="O6" s="137">
        <v>63</v>
      </c>
      <c r="P6">
        <f>J6*$R$3</f>
        <v>2.056</v>
      </c>
      <c r="T6" s="88" t="s">
        <v>348</v>
      </c>
      <c r="U6" s="62">
        <v>273.10000000000002</v>
      </c>
      <c r="V6" s="62">
        <v>344.8</v>
      </c>
      <c r="W6" s="62">
        <v>158.80000000000001</v>
      </c>
      <c r="X6" s="62">
        <v>160.80000000000001</v>
      </c>
      <c r="Y6" s="62">
        <v>215.9</v>
      </c>
      <c r="Z6" s="62">
        <v>179.9</v>
      </c>
      <c r="AA6" s="149">
        <f>AVERAGE(U6:Z6)</f>
        <v>222.2166666666667</v>
      </c>
      <c r="AL6" s="88" t="s">
        <v>349</v>
      </c>
      <c r="AM6" s="62">
        <v>27.7</v>
      </c>
      <c r="AN6" s="62">
        <v>27</v>
      </c>
      <c r="AO6" s="62">
        <v>29</v>
      </c>
      <c r="AP6" s="62">
        <v>27.9</v>
      </c>
      <c r="AQ6" s="62">
        <v>27.6</v>
      </c>
      <c r="AR6" s="62">
        <v>28.4</v>
      </c>
      <c r="AS6" s="149">
        <f t="shared" ref="AS6:AS16" si="1">AVERAGE(AM6:AR6)</f>
        <v>27.933333333333334</v>
      </c>
      <c r="AU6" s="88" t="s">
        <v>349</v>
      </c>
      <c r="AV6" s="62">
        <v>1.028</v>
      </c>
      <c r="AW6" s="62">
        <v>3.0840000000000001</v>
      </c>
      <c r="AX6" s="62">
        <v>2.056</v>
      </c>
      <c r="AY6" s="62">
        <v>1.542</v>
      </c>
      <c r="AZ6" s="62">
        <v>2.5700000000000003</v>
      </c>
      <c r="BA6" s="149">
        <f t="shared" si="0"/>
        <v>2.056</v>
      </c>
      <c r="BD6" s="88" t="s">
        <v>349</v>
      </c>
      <c r="BE6" s="62">
        <v>53.2</v>
      </c>
      <c r="BF6" s="62">
        <v>38</v>
      </c>
      <c r="BG6" s="62">
        <v>67</v>
      </c>
      <c r="BH6" s="62">
        <v>43</v>
      </c>
      <c r="BI6" s="62">
        <v>36</v>
      </c>
      <c r="BJ6" s="62">
        <v>64</v>
      </c>
      <c r="BK6" s="149">
        <f t="shared" ref="BK6:BK16" si="2">AVERAGE(BE6:BJ6)</f>
        <v>50.199999999999996</v>
      </c>
    </row>
    <row r="7" spans="2:63">
      <c r="B7" s="88" t="s">
        <v>349</v>
      </c>
      <c r="C7" s="62">
        <v>23.8</v>
      </c>
      <c r="D7" s="62">
        <v>33.5</v>
      </c>
      <c r="E7" s="62">
        <v>28.4</v>
      </c>
      <c r="F7" s="62">
        <v>56</v>
      </c>
      <c r="G7" s="62">
        <v>89</v>
      </c>
      <c r="H7" s="62">
        <v>76</v>
      </c>
      <c r="I7" s="62">
        <v>1014</v>
      </c>
      <c r="J7" s="62">
        <v>5</v>
      </c>
      <c r="K7" s="62">
        <v>64</v>
      </c>
      <c r="L7" s="62">
        <v>41.8</v>
      </c>
      <c r="M7" s="62">
        <v>10</v>
      </c>
      <c r="N7" s="137">
        <v>24</v>
      </c>
      <c r="O7" s="137">
        <v>52</v>
      </c>
      <c r="P7" s="3">
        <f t="shared" ref="P7:P17" si="3">J7*$R$3</f>
        <v>2.5700000000000003</v>
      </c>
      <c r="T7" s="88" t="s">
        <v>349</v>
      </c>
      <c r="U7" s="62">
        <v>197.1</v>
      </c>
      <c r="V7" s="62">
        <v>193</v>
      </c>
      <c r="W7" s="62">
        <v>99.3</v>
      </c>
      <c r="X7" s="62">
        <v>138.6</v>
      </c>
      <c r="Y7" s="62">
        <v>97.7</v>
      </c>
      <c r="Z7" s="62">
        <v>41.8</v>
      </c>
      <c r="AA7" s="149">
        <f t="shared" ref="AA7:AA17" si="4">AVERAGE(U7:Z7)</f>
        <v>127.91666666666667</v>
      </c>
      <c r="AL7" s="88" t="s">
        <v>350</v>
      </c>
      <c r="AM7" s="62">
        <v>27.7</v>
      </c>
      <c r="AN7" s="62">
        <v>27.5</v>
      </c>
      <c r="AO7" s="62">
        <v>29</v>
      </c>
      <c r="AP7" s="62">
        <v>27.6</v>
      </c>
      <c r="AQ7" s="62">
        <v>27.9</v>
      </c>
      <c r="AR7" s="62">
        <v>28.2</v>
      </c>
      <c r="AS7" s="149">
        <f t="shared" si="1"/>
        <v>27.983333333333334</v>
      </c>
      <c r="AU7" s="88" t="s">
        <v>350</v>
      </c>
      <c r="AV7" s="62">
        <v>1.542</v>
      </c>
      <c r="AW7" s="62">
        <v>2.5700000000000003</v>
      </c>
      <c r="AX7" s="62">
        <v>2.056</v>
      </c>
      <c r="AY7" s="62">
        <v>2.056</v>
      </c>
      <c r="AZ7" s="62">
        <v>2.056</v>
      </c>
      <c r="BA7" s="149">
        <f t="shared" si="0"/>
        <v>2.056</v>
      </c>
      <c r="BD7" s="88" t="s">
        <v>350</v>
      </c>
      <c r="BE7" s="62">
        <v>46.1</v>
      </c>
      <c r="BF7" s="62">
        <v>53</v>
      </c>
      <c r="BG7" s="62">
        <v>53</v>
      </c>
      <c r="BH7" s="62">
        <v>39</v>
      </c>
      <c r="BI7" s="62">
        <v>42</v>
      </c>
      <c r="BJ7" s="62">
        <v>54</v>
      </c>
      <c r="BK7" s="149">
        <f t="shared" si="2"/>
        <v>47.85</v>
      </c>
    </row>
    <row r="8" spans="2:63">
      <c r="B8" s="88" t="s">
        <v>350</v>
      </c>
      <c r="C8" s="62">
        <v>24.1</v>
      </c>
      <c r="D8" s="62">
        <v>33.799999999999997</v>
      </c>
      <c r="E8" s="62">
        <v>28.2</v>
      </c>
      <c r="F8" s="62">
        <v>55</v>
      </c>
      <c r="G8" s="62">
        <v>91</v>
      </c>
      <c r="H8" s="62">
        <v>78</v>
      </c>
      <c r="I8" s="62">
        <v>1013.2</v>
      </c>
      <c r="J8" s="62">
        <v>4</v>
      </c>
      <c r="K8" s="62">
        <v>54</v>
      </c>
      <c r="L8" s="62">
        <v>198.6</v>
      </c>
      <c r="M8" s="62">
        <v>17</v>
      </c>
      <c r="N8" s="137">
        <v>24</v>
      </c>
      <c r="O8" s="137">
        <v>60</v>
      </c>
      <c r="P8" s="3">
        <f t="shared" si="3"/>
        <v>2.056</v>
      </c>
      <c r="T8" s="88" t="s">
        <v>350</v>
      </c>
      <c r="U8" s="62">
        <v>318.7</v>
      </c>
      <c r="V8" s="62">
        <v>197.8</v>
      </c>
      <c r="W8" s="62">
        <v>317.60000000000002</v>
      </c>
      <c r="X8" s="62">
        <v>88.1</v>
      </c>
      <c r="Y8" s="62">
        <v>154.1</v>
      </c>
      <c r="Z8" s="62">
        <v>198.6</v>
      </c>
      <c r="AA8" s="149">
        <f t="shared" si="4"/>
        <v>212.48333333333332</v>
      </c>
      <c r="AL8" s="88" t="s">
        <v>351</v>
      </c>
      <c r="AM8" s="62">
        <v>27.9</v>
      </c>
      <c r="AN8" s="62">
        <v>27.8</v>
      </c>
      <c r="AO8" s="62">
        <v>29</v>
      </c>
      <c r="AP8" s="62">
        <v>27.8</v>
      </c>
      <c r="AQ8" s="62">
        <v>27.8</v>
      </c>
      <c r="AR8" s="62">
        <v>28.5</v>
      </c>
      <c r="AS8" s="149">
        <f t="shared" si="1"/>
        <v>28.133333333333336</v>
      </c>
      <c r="AU8" s="88" t="s">
        <v>351</v>
      </c>
      <c r="AV8" s="62">
        <v>2.056</v>
      </c>
      <c r="AW8" s="62">
        <v>2.5700000000000003</v>
      </c>
      <c r="AX8" s="62">
        <v>2.056</v>
      </c>
      <c r="AY8" s="62">
        <v>2.056</v>
      </c>
      <c r="AZ8" s="62">
        <v>2.056</v>
      </c>
      <c r="BA8" s="149">
        <f t="shared" si="0"/>
        <v>2.1588000000000003</v>
      </c>
      <c r="BD8" s="88" t="s">
        <v>351</v>
      </c>
      <c r="BE8" s="62">
        <v>41.8</v>
      </c>
      <c r="BF8" s="62">
        <v>50</v>
      </c>
      <c r="BG8" s="62">
        <v>58</v>
      </c>
      <c r="BH8" s="62">
        <v>40</v>
      </c>
      <c r="BI8" s="62">
        <v>44</v>
      </c>
      <c r="BJ8" s="62">
        <v>44</v>
      </c>
      <c r="BK8" s="149">
        <f t="shared" si="2"/>
        <v>46.300000000000004</v>
      </c>
    </row>
    <row r="9" spans="2:63">
      <c r="B9" s="88" t="s">
        <v>351</v>
      </c>
      <c r="C9" s="62">
        <v>24.5</v>
      </c>
      <c r="D9" s="62">
        <v>33.5</v>
      </c>
      <c r="E9" s="62">
        <v>28.5</v>
      </c>
      <c r="F9" s="62">
        <v>59</v>
      </c>
      <c r="G9" s="62">
        <v>92</v>
      </c>
      <c r="H9" s="62">
        <v>80</v>
      </c>
      <c r="I9" s="62">
        <v>1012.2</v>
      </c>
      <c r="J9" s="62">
        <v>4</v>
      </c>
      <c r="K9" s="62">
        <v>44</v>
      </c>
      <c r="L9" s="62">
        <v>123.5</v>
      </c>
      <c r="M9" s="62">
        <v>19</v>
      </c>
      <c r="N9" s="137">
        <v>25</v>
      </c>
      <c r="O9" s="137">
        <v>69</v>
      </c>
      <c r="P9" s="3">
        <f t="shared" si="3"/>
        <v>2.056</v>
      </c>
      <c r="T9" s="88" t="s">
        <v>351</v>
      </c>
      <c r="U9" s="62">
        <v>126.1</v>
      </c>
      <c r="V9" s="62">
        <v>343.7</v>
      </c>
      <c r="W9" s="62">
        <v>369.2</v>
      </c>
      <c r="X9" s="62">
        <v>343.3</v>
      </c>
      <c r="Y9" s="62">
        <v>180.2</v>
      </c>
      <c r="Z9" s="62">
        <v>123.5</v>
      </c>
      <c r="AA9" s="149">
        <f t="shared" si="4"/>
        <v>247.66666666666666</v>
      </c>
      <c r="AL9" s="88" t="s">
        <v>352</v>
      </c>
      <c r="AM9" s="62">
        <v>27.7</v>
      </c>
      <c r="AN9" s="62">
        <v>27.8</v>
      </c>
      <c r="AO9" s="62">
        <v>28.7</v>
      </c>
      <c r="AP9" s="62">
        <v>27.7</v>
      </c>
      <c r="AQ9" s="62">
        <v>27.8</v>
      </c>
      <c r="AR9" s="62">
        <v>28.3</v>
      </c>
      <c r="AS9" s="149">
        <f t="shared" si="1"/>
        <v>28.000000000000004</v>
      </c>
      <c r="AU9" s="88" t="s">
        <v>352</v>
      </c>
      <c r="AV9" s="62">
        <v>1.542</v>
      </c>
      <c r="AW9" s="62">
        <v>2.056</v>
      </c>
      <c r="AX9" s="62">
        <v>2.056</v>
      </c>
      <c r="AY9" s="62">
        <v>1.542</v>
      </c>
      <c r="AZ9" s="62">
        <v>1.542</v>
      </c>
      <c r="BA9" s="149">
        <f t="shared" si="0"/>
        <v>1.7475999999999998</v>
      </c>
      <c r="BD9" s="88" t="s">
        <v>352</v>
      </c>
      <c r="BE9" s="62">
        <v>39.6</v>
      </c>
      <c r="BF9" s="62">
        <v>47</v>
      </c>
      <c r="BG9" s="62">
        <v>51</v>
      </c>
      <c r="BH9" s="62">
        <v>38</v>
      </c>
      <c r="BI9" s="62">
        <v>44</v>
      </c>
      <c r="BJ9" s="62">
        <v>42</v>
      </c>
      <c r="BK9" s="149">
        <f t="shared" si="2"/>
        <v>43.6</v>
      </c>
    </row>
    <row r="10" spans="2:63">
      <c r="B10" s="88" t="s">
        <v>352</v>
      </c>
      <c r="C10" s="62">
        <v>24.3</v>
      </c>
      <c r="D10" s="62">
        <v>33.299999999999997</v>
      </c>
      <c r="E10" s="62">
        <v>28.3</v>
      </c>
      <c r="F10" s="62">
        <v>61</v>
      </c>
      <c r="G10" s="62">
        <v>93</v>
      </c>
      <c r="H10" s="62">
        <v>82</v>
      </c>
      <c r="I10" s="62">
        <v>1012.5</v>
      </c>
      <c r="J10" s="62">
        <v>3</v>
      </c>
      <c r="K10" s="62">
        <v>42</v>
      </c>
      <c r="L10" s="62">
        <v>193.6</v>
      </c>
      <c r="M10" s="62">
        <v>23</v>
      </c>
      <c r="N10" s="137">
        <v>25</v>
      </c>
      <c r="O10" s="137">
        <v>62</v>
      </c>
      <c r="P10" s="3">
        <f t="shared" si="3"/>
        <v>1.542</v>
      </c>
      <c r="T10" s="88" t="s">
        <v>352</v>
      </c>
      <c r="U10" s="62">
        <v>189.7</v>
      </c>
      <c r="V10" s="62">
        <v>213.5</v>
      </c>
      <c r="W10" s="62">
        <v>224.6</v>
      </c>
      <c r="X10" s="62">
        <v>309.3</v>
      </c>
      <c r="Y10" s="62">
        <v>296.3</v>
      </c>
      <c r="Z10" s="62">
        <v>193.6</v>
      </c>
      <c r="AA10" s="149">
        <f t="shared" si="4"/>
        <v>237.83333333333329</v>
      </c>
      <c r="AL10" s="88" t="s">
        <v>353</v>
      </c>
      <c r="AM10" s="62">
        <v>27.5</v>
      </c>
      <c r="AN10" s="62">
        <v>27.5</v>
      </c>
      <c r="AO10" s="62">
        <v>27.6</v>
      </c>
      <c r="AP10" s="62">
        <v>27.3</v>
      </c>
      <c r="AQ10" s="62">
        <v>27.8</v>
      </c>
      <c r="AR10" s="62">
        <v>27.7</v>
      </c>
      <c r="AS10" s="149">
        <f t="shared" si="1"/>
        <v>27.566666666666663</v>
      </c>
      <c r="AU10" s="88" t="s">
        <v>353</v>
      </c>
      <c r="AV10" s="62">
        <v>2.056</v>
      </c>
      <c r="AW10" s="62">
        <v>1.542</v>
      </c>
      <c r="AX10" s="62">
        <v>2.056</v>
      </c>
      <c r="AY10" s="62">
        <v>1.542</v>
      </c>
      <c r="AZ10" s="62">
        <v>2.056</v>
      </c>
      <c r="BA10" s="149">
        <f t="shared" si="0"/>
        <v>1.8503999999999998</v>
      </c>
      <c r="BD10" s="88" t="s">
        <v>353</v>
      </c>
      <c r="BE10" s="62">
        <v>27.6</v>
      </c>
      <c r="BF10" s="62">
        <v>36</v>
      </c>
      <c r="BG10" s="62">
        <v>34</v>
      </c>
      <c r="BH10" s="62">
        <v>38</v>
      </c>
      <c r="BI10" s="62">
        <v>42</v>
      </c>
      <c r="BJ10" s="62">
        <v>35</v>
      </c>
      <c r="BK10" s="149">
        <f t="shared" si="2"/>
        <v>35.43333333333333</v>
      </c>
    </row>
    <row r="11" spans="2:63">
      <c r="B11" s="88" t="s">
        <v>353</v>
      </c>
      <c r="C11" s="62">
        <v>24.3</v>
      </c>
      <c r="D11" s="62">
        <v>32.299999999999997</v>
      </c>
      <c r="E11" s="62">
        <v>27.7</v>
      </c>
      <c r="F11" s="62">
        <v>64</v>
      </c>
      <c r="G11" s="62">
        <v>93</v>
      </c>
      <c r="H11" s="62">
        <v>83</v>
      </c>
      <c r="I11" s="62">
        <v>1012.1</v>
      </c>
      <c r="J11" s="62">
        <v>4</v>
      </c>
      <c r="K11" s="62">
        <v>35</v>
      </c>
      <c r="L11" s="62">
        <v>253.3</v>
      </c>
      <c r="M11" s="62">
        <v>22</v>
      </c>
      <c r="N11" s="137">
        <v>25</v>
      </c>
      <c r="O11" s="137">
        <v>69</v>
      </c>
      <c r="P11" s="3">
        <f t="shared" si="3"/>
        <v>2.056</v>
      </c>
      <c r="T11" s="88" t="s">
        <v>353</v>
      </c>
      <c r="U11" s="62">
        <v>210.5</v>
      </c>
      <c r="V11" s="62">
        <v>259.2</v>
      </c>
      <c r="W11" s="62">
        <v>202</v>
      </c>
      <c r="X11" s="62">
        <v>421.8</v>
      </c>
      <c r="Y11" s="62">
        <v>197</v>
      </c>
      <c r="Z11" s="62">
        <v>253.3</v>
      </c>
      <c r="AA11" s="149">
        <f t="shared" si="4"/>
        <v>257.3</v>
      </c>
      <c r="AL11" s="88" t="s">
        <v>354</v>
      </c>
      <c r="AM11" s="62">
        <v>27.8</v>
      </c>
      <c r="AN11" s="62">
        <v>27.5</v>
      </c>
      <c r="AO11" s="62">
        <v>27.8</v>
      </c>
      <c r="AP11" s="62">
        <v>27.7</v>
      </c>
      <c r="AQ11" s="62">
        <v>27.9</v>
      </c>
      <c r="AR11" s="62">
        <v>27.7</v>
      </c>
      <c r="AS11" s="149">
        <f t="shared" si="1"/>
        <v>27.733333333333331</v>
      </c>
      <c r="AU11" s="88" t="s">
        <v>354</v>
      </c>
      <c r="AV11" s="62">
        <v>2.056</v>
      </c>
      <c r="AW11" s="62">
        <v>2.056</v>
      </c>
      <c r="AX11" s="62">
        <v>2.056</v>
      </c>
      <c r="AY11" s="62">
        <v>2.056</v>
      </c>
      <c r="AZ11" s="62">
        <v>2.056</v>
      </c>
      <c r="BA11" s="149">
        <f t="shared" si="0"/>
        <v>2.056</v>
      </c>
      <c r="BD11" s="88" t="s">
        <v>354</v>
      </c>
      <c r="BE11" s="62">
        <v>54.2</v>
      </c>
      <c r="BF11" s="62">
        <v>52</v>
      </c>
      <c r="BG11" s="62">
        <v>49</v>
      </c>
      <c r="BH11" s="62">
        <v>44</v>
      </c>
      <c r="BI11" s="62">
        <v>47</v>
      </c>
      <c r="BJ11" s="62">
        <v>46</v>
      </c>
      <c r="BK11" s="149">
        <f t="shared" si="2"/>
        <v>48.699999999999996</v>
      </c>
    </row>
    <row r="12" spans="2:63">
      <c r="B12" s="88" t="s">
        <v>354</v>
      </c>
      <c r="C12" s="62">
        <v>24.1</v>
      </c>
      <c r="D12" s="62">
        <v>32.799999999999997</v>
      </c>
      <c r="E12" s="62">
        <v>27.7</v>
      </c>
      <c r="F12" s="62">
        <v>57</v>
      </c>
      <c r="G12" s="62">
        <v>90</v>
      </c>
      <c r="H12" s="62">
        <v>62</v>
      </c>
      <c r="I12" s="62">
        <v>1012.8</v>
      </c>
      <c r="J12" s="62">
        <v>4</v>
      </c>
      <c r="K12" s="62">
        <v>46</v>
      </c>
      <c r="L12" s="62">
        <v>52.2</v>
      </c>
      <c r="M12" s="62">
        <v>14</v>
      </c>
      <c r="N12" s="137">
        <v>20</v>
      </c>
      <c r="O12" s="137">
        <v>62</v>
      </c>
      <c r="P12" s="3">
        <f t="shared" si="3"/>
        <v>2.056</v>
      </c>
      <c r="T12" s="88" t="s">
        <v>354</v>
      </c>
      <c r="U12" s="62">
        <v>49.5</v>
      </c>
      <c r="V12" s="62">
        <v>162.69999999999999</v>
      </c>
      <c r="W12" s="62">
        <v>162.69999999999999</v>
      </c>
      <c r="X12" s="62">
        <v>160.9</v>
      </c>
      <c r="Y12" s="62">
        <v>136.9</v>
      </c>
      <c r="Z12" s="62">
        <v>52.2</v>
      </c>
      <c r="AA12" s="149">
        <f t="shared" si="4"/>
        <v>120.81666666666666</v>
      </c>
      <c r="AL12" s="88" t="s">
        <v>355</v>
      </c>
      <c r="AM12" s="62">
        <v>27.1</v>
      </c>
      <c r="AN12" s="62">
        <v>28</v>
      </c>
      <c r="AO12" s="62">
        <v>27.9</v>
      </c>
      <c r="AP12" s="62">
        <v>27.2</v>
      </c>
      <c r="AQ12" s="62">
        <v>28</v>
      </c>
      <c r="AR12" s="62">
        <v>27.9</v>
      </c>
      <c r="AS12" s="149">
        <f t="shared" si="1"/>
        <v>27.683333333333334</v>
      </c>
      <c r="AU12" s="88" t="s">
        <v>355</v>
      </c>
      <c r="AV12" s="62">
        <v>2.5700000000000003</v>
      </c>
      <c r="AW12" s="62">
        <v>2.056</v>
      </c>
      <c r="AX12" s="62">
        <v>2.056</v>
      </c>
      <c r="AY12" s="62">
        <v>2.056</v>
      </c>
      <c r="AZ12" s="62">
        <v>2.5700000000000003</v>
      </c>
      <c r="BA12" s="149">
        <f t="shared" si="0"/>
        <v>2.2616000000000001</v>
      </c>
      <c r="BD12" s="88" t="s">
        <v>355</v>
      </c>
      <c r="BE12" s="62">
        <v>32.299999999999997</v>
      </c>
      <c r="BF12" s="62">
        <v>61</v>
      </c>
      <c r="BG12" s="62">
        <v>48</v>
      </c>
      <c r="BH12" s="62">
        <v>30</v>
      </c>
      <c r="BI12" s="62">
        <v>47</v>
      </c>
      <c r="BJ12" s="62">
        <v>61</v>
      </c>
      <c r="BK12" s="149">
        <f t="shared" si="2"/>
        <v>46.550000000000004</v>
      </c>
    </row>
    <row r="13" spans="2:63">
      <c r="B13" s="88" t="s">
        <v>355</v>
      </c>
      <c r="C13" s="62">
        <v>24.5</v>
      </c>
      <c r="D13" s="62">
        <v>34.299999999999997</v>
      </c>
      <c r="E13" s="62">
        <v>27.9</v>
      </c>
      <c r="F13" s="62">
        <v>55</v>
      </c>
      <c r="G13" s="62">
        <v>88</v>
      </c>
      <c r="H13" s="62">
        <v>59</v>
      </c>
      <c r="I13" s="62">
        <v>1013</v>
      </c>
      <c r="J13" s="62">
        <v>5</v>
      </c>
      <c r="K13" s="62">
        <v>61</v>
      </c>
      <c r="L13" s="62">
        <v>62.5</v>
      </c>
      <c r="M13" s="62">
        <v>10</v>
      </c>
      <c r="N13" s="137">
        <v>19</v>
      </c>
      <c r="O13" s="137">
        <v>51</v>
      </c>
      <c r="P13" s="3">
        <f t="shared" si="3"/>
        <v>2.5700000000000003</v>
      </c>
      <c r="T13" s="88" t="s">
        <v>355</v>
      </c>
      <c r="U13" s="62">
        <v>81.3</v>
      </c>
      <c r="V13" s="62">
        <v>57.6</v>
      </c>
      <c r="W13" s="62">
        <v>99.3</v>
      </c>
      <c r="X13" s="62">
        <v>249.7</v>
      </c>
      <c r="Y13" s="62">
        <v>47.9</v>
      </c>
      <c r="Z13" s="62">
        <v>62.5</v>
      </c>
      <c r="AA13" s="149">
        <f t="shared" si="4"/>
        <v>99.716666666666654</v>
      </c>
      <c r="AL13" s="88" t="s">
        <v>356</v>
      </c>
      <c r="AM13" s="62">
        <v>27.9</v>
      </c>
      <c r="AN13" s="62">
        <v>28.5</v>
      </c>
      <c r="AO13" s="62">
        <v>27.4</v>
      </c>
      <c r="AP13" s="62">
        <v>27.8</v>
      </c>
      <c r="AQ13" s="62">
        <v>28.1</v>
      </c>
      <c r="AR13" s="62">
        <v>28.5</v>
      </c>
      <c r="AS13" s="149">
        <f t="shared" si="1"/>
        <v>28.033333333333331</v>
      </c>
      <c r="AU13" s="88" t="s">
        <v>356</v>
      </c>
      <c r="AV13" s="62">
        <v>2.5700000000000003</v>
      </c>
      <c r="AW13" s="62">
        <v>2.056</v>
      </c>
      <c r="AX13" s="62">
        <v>2.056</v>
      </c>
      <c r="AY13" s="62">
        <v>1.542</v>
      </c>
      <c r="AZ13" s="62">
        <v>2.5700000000000003</v>
      </c>
      <c r="BA13" s="149">
        <f t="shared" si="0"/>
        <v>2.1588000000000003</v>
      </c>
      <c r="BD13" s="88" t="s">
        <v>356</v>
      </c>
      <c r="BE13" s="62">
        <v>43.3</v>
      </c>
      <c r="BF13" s="62">
        <v>36</v>
      </c>
      <c r="BG13" s="62">
        <v>38</v>
      </c>
      <c r="BH13" s="62">
        <v>34</v>
      </c>
      <c r="BI13" s="62">
        <v>60</v>
      </c>
      <c r="BJ13" s="62">
        <v>79</v>
      </c>
      <c r="BK13" s="149">
        <f t="shared" si="2"/>
        <v>48.383333333333333</v>
      </c>
    </row>
    <row r="14" spans="2:63">
      <c r="B14" s="88" t="s">
        <v>356</v>
      </c>
      <c r="C14" s="62">
        <v>24.6</v>
      </c>
      <c r="D14" s="62">
        <v>34.1</v>
      </c>
      <c r="E14" s="62">
        <v>28.5</v>
      </c>
      <c r="F14" s="62">
        <v>51</v>
      </c>
      <c r="G14" s="62">
        <v>88</v>
      </c>
      <c r="H14" s="62">
        <v>55</v>
      </c>
      <c r="I14" s="94">
        <v>1013.8</v>
      </c>
      <c r="J14" s="62">
        <v>5</v>
      </c>
      <c r="K14" s="62">
        <v>79</v>
      </c>
      <c r="L14" s="62">
        <v>49.2</v>
      </c>
      <c r="M14" s="62">
        <v>6</v>
      </c>
      <c r="N14" s="137">
        <v>19</v>
      </c>
      <c r="O14" s="137">
        <v>45</v>
      </c>
      <c r="P14" s="3">
        <f t="shared" si="3"/>
        <v>2.5700000000000003</v>
      </c>
      <c r="T14" s="88" t="s">
        <v>356</v>
      </c>
      <c r="U14" s="62">
        <v>81.599999999999994</v>
      </c>
      <c r="V14" s="62">
        <v>0</v>
      </c>
      <c r="W14" s="62">
        <v>226.4</v>
      </c>
      <c r="X14" s="62">
        <v>100</v>
      </c>
      <c r="Y14" s="62">
        <v>127.4</v>
      </c>
      <c r="Z14" s="62">
        <v>49.2</v>
      </c>
      <c r="AA14" s="149">
        <f t="shared" si="4"/>
        <v>97.433333333333337</v>
      </c>
      <c r="AL14" s="88" t="s">
        <v>357</v>
      </c>
      <c r="AM14" s="62">
        <v>28.5</v>
      </c>
      <c r="AN14" s="62">
        <v>28.9</v>
      </c>
      <c r="AO14" s="62">
        <v>27.6</v>
      </c>
      <c r="AP14" s="62">
        <v>28.3</v>
      </c>
      <c r="AQ14" s="62">
        <v>27.8</v>
      </c>
      <c r="AR14" s="62">
        <v>28</v>
      </c>
      <c r="AS14" s="149">
        <f t="shared" si="1"/>
        <v>28.183333333333334</v>
      </c>
      <c r="AU14" s="88" t="s">
        <v>357</v>
      </c>
      <c r="AV14" s="62">
        <v>2.6214</v>
      </c>
      <c r="AW14" s="62">
        <v>2.056</v>
      </c>
      <c r="AX14" s="62">
        <v>2.056</v>
      </c>
      <c r="AY14" s="62">
        <v>1.542</v>
      </c>
      <c r="AZ14" s="62">
        <v>1.542</v>
      </c>
      <c r="BA14" s="149">
        <f t="shared" si="0"/>
        <v>1.9634800000000001</v>
      </c>
      <c r="BD14" s="88" t="s">
        <v>357</v>
      </c>
      <c r="BE14" s="62">
        <v>50.2</v>
      </c>
      <c r="BF14" s="62">
        <v>51</v>
      </c>
      <c r="BG14" s="62">
        <v>30</v>
      </c>
      <c r="BH14" s="62">
        <v>47</v>
      </c>
      <c r="BI14" s="62">
        <v>42</v>
      </c>
      <c r="BJ14" s="62">
        <v>52</v>
      </c>
      <c r="BK14" s="149">
        <f t="shared" si="2"/>
        <v>45.366666666666667</v>
      </c>
    </row>
    <row r="15" spans="2:63">
      <c r="B15" s="88" t="s">
        <v>357</v>
      </c>
      <c r="C15" s="62">
        <v>24.6</v>
      </c>
      <c r="D15" s="62">
        <v>34</v>
      </c>
      <c r="E15" s="62">
        <v>28</v>
      </c>
      <c r="F15" s="62">
        <v>48</v>
      </c>
      <c r="G15" s="62">
        <v>93</v>
      </c>
      <c r="H15" s="62">
        <v>65</v>
      </c>
      <c r="I15" s="62">
        <v>1012.5</v>
      </c>
      <c r="J15" s="62">
        <v>3</v>
      </c>
      <c r="K15" s="62">
        <v>52</v>
      </c>
      <c r="L15" s="62">
        <v>203.6</v>
      </c>
      <c r="M15" s="62">
        <v>25</v>
      </c>
      <c r="N15" s="137">
        <v>21</v>
      </c>
      <c r="O15" s="137">
        <v>66</v>
      </c>
      <c r="P15" s="3">
        <f t="shared" si="3"/>
        <v>1.542</v>
      </c>
      <c r="T15" s="88" t="s">
        <v>357</v>
      </c>
      <c r="U15" s="62">
        <v>111.3</v>
      </c>
      <c r="V15" s="62">
        <v>73.2</v>
      </c>
      <c r="W15" s="62">
        <v>174.5</v>
      </c>
      <c r="X15" s="62">
        <v>152</v>
      </c>
      <c r="Y15" s="62">
        <v>151.9</v>
      </c>
      <c r="Z15" s="62">
        <v>203.6</v>
      </c>
      <c r="AA15" s="149">
        <f t="shared" si="4"/>
        <v>144.41666666666666</v>
      </c>
      <c r="AL15" s="88" t="s">
        <v>358</v>
      </c>
      <c r="AM15" s="62">
        <v>27.7</v>
      </c>
      <c r="AN15" s="62">
        <v>28.4</v>
      </c>
      <c r="AO15" s="62">
        <v>27.7</v>
      </c>
      <c r="AP15" s="62">
        <v>28.1</v>
      </c>
      <c r="AQ15" s="62">
        <v>27.9</v>
      </c>
      <c r="AR15" s="62">
        <v>28.1</v>
      </c>
      <c r="AS15" s="149">
        <f t="shared" si="1"/>
        <v>27.983333333333334</v>
      </c>
      <c r="AU15" s="88" t="s">
        <v>358</v>
      </c>
      <c r="AV15" s="62">
        <v>1.9532</v>
      </c>
      <c r="AW15" s="62">
        <v>2.056</v>
      </c>
      <c r="AX15" s="62">
        <v>2.056</v>
      </c>
      <c r="AY15" s="62">
        <v>1.542</v>
      </c>
      <c r="AZ15" s="62">
        <v>1.542</v>
      </c>
      <c r="BA15" s="149">
        <f t="shared" si="0"/>
        <v>1.8298400000000001</v>
      </c>
      <c r="BD15" s="88" t="s">
        <v>358</v>
      </c>
      <c r="BE15" s="62">
        <v>34.700000000000003</v>
      </c>
      <c r="BF15" s="62">
        <v>49</v>
      </c>
      <c r="BG15" s="62">
        <v>33</v>
      </c>
      <c r="BH15" s="62">
        <v>40</v>
      </c>
      <c r="BI15" s="62">
        <v>35</v>
      </c>
      <c r="BJ15" s="62">
        <v>54</v>
      </c>
      <c r="BK15" s="149">
        <f t="shared" si="2"/>
        <v>40.949999999999996</v>
      </c>
    </row>
    <row r="16" spans="2:63">
      <c r="B16" s="88" t="s">
        <v>358</v>
      </c>
      <c r="C16" s="62">
        <v>24.9</v>
      </c>
      <c r="D16" s="62">
        <v>32</v>
      </c>
      <c r="E16" s="62">
        <v>28.1</v>
      </c>
      <c r="F16" s="62">
        <v>48</v>
      </c>
      <c r="G16" s="62">
        <v>97</v>
      </c>
      <c r="H16" s="62">
        <v>85</v>
      </c>
      <c r="I16" s="62">
        <v>1011.1</v>
      </c>
      <c r="J16" s="62">
        <v>3</v>
      </c>
      <c r="K16" s="62">
        <v>54</v>
      </c>
      <c r="L16" s="62">
        <v>122.2</v>
      </c>
      <c r="M16" s="62">
        <v>14</v>
      </c>
      <c r="N16" s="137">
        <v>25</v>
      </c>
      <c r="O16" s="137">
        <v>60</v>
      </c>
      <c r="P16" s="3">
        <f t="shared" si="3"/>
        <v>1.542</v>
      </c>
      <c r="T16" s="88" t="s">
        <v>358</v>
      </c>
      <c r="U16" s="62">
        <v>300</v>
      </c>
      <c r="V16" s="62">
        <v>60.9</v>
      </c>
      <c r="W16" s="62">
        <v>291.89999999999998</v>
      </c>
      <c r="X16" s="62">
        <v>218.8</v>
      </c>
      <c r="Y16" s="62">
        <v>126.7</v>
      </c>
      <c r="Z16" s="62">
        <v>122.2</v>
      </c>
      <c r="AA16" s="149">
        <f t="shared" si="4"/>
        <v>186.75</v>
      </c>
      <c r="AL16" s="88" t="s">
        <v>359</v>
      </c>
      <c r="AM16" s="62">
        <v>27.5</v>
      </c>
      <c r="AN16" s="62">
        <v>28.6</v>
      </c>
      <c r="AO16" s="62">
        <v>27.5</v>
      </c>
      <c r="AP16" s="62">
        <v>28</v>
      </c>
      <c r="AQ16" s="62">
        <v>28.2</v>
      </c>
      <c r="AR16" s="62">
        <v>27.8</v>
      </c>
      <c r="AS16" s="149">
        <f t="shared" si="1"/>
        <v>27.933333333333334</v>
      </c>
      <c r="AU16" s="88" t="s">
        <v>359</v>
      </c>
      <c r="AV16" s="62">
        <v>2.3643999999999998</v>
      </c>
      <c r="AW16" s="62">
        <v>2.056</v>
      </c>
      <c r="AX16" s="62">
        <v>2.056</v>
      </c>
      <c r="AY16" s="62">
        <v>2.056</v>
      </c>
      <c r="AZ16" s="62">
        <v>1.542</v>
      </c>
      <c r="BA16" s="149">
        <f t="shared" si="0"/>
        <v>2.0148799999999998</v>
      </c>
      <c r="BD16" s="88" t="s">
        <v>359</v>
      </c>
      <c r="BE16" s="62">
        <v>42.6</v>
      </c>
      <c r="BF16" s="62">
        <v>58</v>
      </c>
      <c r="BG16" s="62">
        <v>39</v>
      </c>
      <c r="BH16" s="62">
        <v>40</v>
      </c>
      <c r="BI16" s="62">
        <v>36</v>
      </c>
      <c r="BJ16" s="62">
        <v>41</v>
      </c>
      <c r="BK16" s="149">
        <f t="shared" si="2"/>
        <v>42.766666666666673</v>
      </c>
    </row>
    <row r="17" spans="2:63">
      <c r="B17" s="88" t="s">
        <v>359</v>
      </c>
      <c r="C17" s="62">
        <v>24.6</v>
      </c>
      <c r="D17" s="62">
        <v>31.4</v>
      </c>
      <c r="E17" s="62">
        <v>27.8</v>
      </c>
      <c r="F17" s="62">
        <v>52</v>
      </c>
      <c r="G17" s="62">
        <v>97</v>
      </c>
      <c r="H17" s="62">
        <v>76</v>
      </c>
      <c r="I17" s="62">
        <v>1012.2</v>
      </c>
      <c r="J17" s="62">
        <v>3</v>
      </c>
      <c r="K17" s="62">
        <v>41</v>
      </c>
      <c r="L17" s="62">
        <v>401.7</v>
      </c>
      <c r="M17" s="62">
        <v>20</v>
      </c>
      <c r="N17" s="137">
        <v>24</v>
      </c>
      <c r="O17" s="137">
        <v>65</v>
      </c>
      <c r="P17" s="3">
        <f t="shared" si="3"/>
        <v>1.542</v>
      </c>
      <c r="T17" s="88" t="s">
        <v>359</v>
      </c>
      <c r="U17" s="62">
        <v>448.6</v>
      </c>
      <c r="V17" s="62">
        <v>191.4</v>
      </c>
      <c r="W17" s="62">
        <v>356.5</v>
      </c>
      <c r="X17" s="62">
        <v>223.1</v>
      </c>
      <c r="Y17" s="62">
        <v>169.5</v>
      </c>
      <c r="Z17" s="62">
        <v>401.7</v>
      </c>
      <c r="AA17" s="149">
        <f t="shared" si="4"/>
        <v>298.46666666666664</v>
      </c>
    </row>
    <row r="18" spans="2:63" s="3" customFormat="1">
      <c r="B18" s="85" t="s">
        <v>360</v>
      </c>
      <c r="C18" s="92">
        <f t="shared" ref="C18:M18" si="5">AVERAGE(C6:C17)</f>
        <v>24.333333333333332</v>
      </c>
      <c r="D18" s="92">
        <f t="shared" si="5"/>
        <v>33.116666666666667</v>
      </c>
      <c r="E18" s="92">
        <f t="shared" si="5"/>
        <v>28.066666666666666</v>
      </c>
      <c r="F18" s="93">
        <f t="shared" si="5"/>
        <v>55.75</v>
      </c>
      <c r="G18" s="93">
        <f t="shared" si="5"/>
        <v>91.833333333333329</v>
      </c>
      <c r="H18" s="92">
        <f t="shared" si="5"/>
        <v>73.416666666666671</v>
      </c>
      <c r="I18" s="92">
        <f t="shared" si="5"/>
        <v>1012.6833333333334</v>
      </c>
      <c r="J18" s="93">
        <f t="shared" si="5"/>
        <v>3.9166666666666665</v>
      </c>
      <c r="K18" s="93">
        <f t="shared" si="5"/>
        <v>50.833333333333336</v>
      </c>
      <c r="L18" s="92">
        <f t="shared" si="5"/>
        <v>156.84166666666667</v>
      </c>
      <c r="M18" s="93">
        <f t="shared" si="5"/>
        <v>16.25</v>
      </c>
      <c r="N18" s="2"/>
      <c r="O18" s="2"/>
    </row>
    <row r="19" spans="2:63" s="3" customFormat="1">
      <c r="B19" s="91">
        <v>2018</v>
      </c>
      <c r="C19" s="254"/>
      <c r="D19" s="255"/>
      <c r="E19" s="255"/>
      <c r="F19" s="255"/>
      <c r="G19" s="255"/>
      <c r="H19" s="255"/>
      <c r="I19" s="255"/>
      <c r="J19" s="255"/>
      <c r="K19" s="255"/>
      <c r="L19" s="255"/>
      <c r="M19" s="255"/>
      <c r="N19" s="255"/>
      <c r="O19" s="256"/>
      <c r="AL19" s="152" t="s">
        <v>895</v>
      </c>
      <c r="AU19" s="71" t="s">
        <v>902</v>
      </c>
      <c r="BD19" s="71" t="s">
        <v>904</v>
      </c>
    </row>
    <row r="20" spans="2:63" s="3" customFormat="1">
      <c r="B20" s="88" t="s">
        <v>348</v>
      </c>
      <c r="C20" s="62">
        <v>24.3</v>
      </c>
      <c r="D20" s="62">
        <v>32.799999999999997</v>
      </c>
      <c r="E20" s="62">
        <v>27.6</v>
      </c>
      <c r="F20" s="62">
        <v>60</v>
      </c>
      <c r="G20" s="62">
        <v>91</v>
      </c>
      <c r="H20" s="62">
        <v>81</v>
      </c>
      <c r="I20" s="62">
        <v>1011.1</v>
      </c>
      <c r="J20" s="62">
        <v>4</v>
      </c>
      <c r="K20" s="62">
        <v>42</v>
      </c>
      <c r="L20" s="62">
        <v>215.9</v>
      </c>
      <c r="M20" s="62">
        <v>18</v>
      </c>
      <c r="N20" s="137">
        <v>25</v>
      </c>
      <c r="O20" s="137">
        <v>45</v>
      </c>
      <c r="P20" s="3">
        <f>J20*$R$3</f>
        <v>2.056</v>
      </c>
      <c r="U20" s="3">
        <v>2014</v>
      </c>
      <c r="V20" s="3">
        <v>2015</v>
      </c>
      <c r="W20" s="3">
        <v>2016</v>
      </c>
      <c r="X20" s="3">
        <v>2017</v>
      </c>
      <c r="Y20" s="3">
        <v>2018</v>
      </c>
      <c r="Z20" s="3">
        <v>2019</v>
      </c>
      <c r="AM20" s="3">
        <v>2014</v>
      </c>
      <c r="AN20" s="3">
        <v>2015</v>
      </c>
      <c r="AO20" s="3">
        <v>2016</v>
      </c>
      <c r="AP20" s="3">
        <v>2017</v>
      </c>
      <c r="AQ20" s="3">
        <v>2018</v>
      </c>
      <c r="AR20" s="3">
        <v>2019</v>
      </c>
      <c r="AV20" s="3">
        <v>2014</v>
      </c>
      <c r="AW20" s="3">
        <v>2015</v>
      </c>
      <c r="AX20" s="3">
        <v>2016</v>
      </c>
      <c r="AY20" s="3">
        <v>2017</v>
      </c>
      <c r="AZ20" s="3">
        <v>2018</v>
      </c>
      <c r="BA20" s="3">
        <v>2019</v>
      </c>
      <c r="BE20" s="3">
        <v>2014</v>
      </c>
      <c r="BF20" s="3">
        <v>2015</v>
      </c>
      <c r="BG20" s="3">
        <v>2016</v>
      </c>
      <c r="BH20" s="3">
        <v>2017</v>
      </c>
      <c r="BI20" s="3">
        <v>2018</v>
      </c>
      <c r="BJ20" s="3">
        <v>2019</v>
      </c>
    </row>
    <row r="21" spans="2:63" s="3" customFormat="1">
      <c r="B21" s="88" t="s">
        <v>349</v>
      </c>
      <c r="C21" s="62">
        <v>24.5</v>
      </c>
      <c r="D21" s="62">
        <v>32.5</v>
      </c>
      <c r="E21" s="62">
        <v>27.6</v>
      </c>
      <c r="F21" s="62">
        <v>62</v>
      </c>
      <c r="G21" s="62">
        <v>93</v>
      </c>
      <c r="H21" s="62">
        <v>82</v>
      </c>
      <c r="I21" s="62">
        <v>1012</v>
      </c>
      <c r="J21" s="62">
        <v>3</v>
      </c>
      <c r="K21" s="62">
        <v>36</v>
      </c>
      <c r="L21" s="62">
        <v>97.7</v>
      </c>
      <c r="M21" s="62">
        <v>18</v>
      </c>
      <c r="N21" s="137">
        <v>25</v>
      </c>
      <c r="O21" s="137">
        <v>46</v>
      </c>
      <c r="P21" s="3">
        <f t="shared" ref="P21:P31" si="6">J21*$R$3</f>
        <v>1.542</v>
      </c>
      <c r="T21" s="88" t="s">
        <v>348</v>
      </c>
      <c r="U21" s="62">
        <v>21</v>
      </c>
      <c r="V21" s="62">
        <v>26</v>
      </c>
      <c r="W21" s="62">
        <v>11</v>
      </c>
      <c r="X21" s="62">
        <v>25</v>
      </c>
      <c r="Y21" s="62">
        <v>18</v>
      </c>
      <c r="Z21" s="62">
        <v>15</v>
      </c>
      <c r="AA21" s="150">
        <f>AVERAGE(U21:Z21)</f>
        <v>19.333333333333332</v>
      </c>
      <c r="AL21" s="88" t="s">
        <v>348</v>
      </c>
      <c r="AM21" s="62">
        <v>31.8</v>
      </c>
      <c r="AN21" s="62">
        <v>31.7</v>
      </c>
      <c r="AO21" s="62">
        <v>33.700000000000003</v>
      </c>
      <c r="AP21" s="62">
        <v>31.9</v>
      </c>
      <c r="AQ21" s="62">
        <v>32.799999999999997</v>
      </c>
      <c r="AR21" s="62">
        <v>32.4</v>
      </c>
      <c r="AS21" s="149">
        <f>AVERAGE(AM21:AR21)</f>
        <v>32.383333333333333</v>
      </c>
      <c r="AU21" s="88" t="s">
        <v>348</v>
      </c>
      <c r="AV21" s="62">
        <v>27.1</v>
      </c>
      <c r="AW21" s="62">
        <v>1012.8</v>
      </c>
      <c r="AX21" s="62">
        <v>1014</v>
      </c>
      <c r="AY21" s="62">
        <v>1011.8</v>
      </c>
      <c r="AZ21" s="62">
        <v>1011.1</v>
      </c>
      <c r="BA21" s="62">
        <v>1012.8</v>
      </c>
      <c r="BB21" s="149">
        <f>AVERAGE(AW21:BA21)</f>
        <v>1012.5</v>
      </c>
      <c r="BD21" s="88" t="s">
        <v>348</v>
      </c>
      <c r="BE21" s="62">
        <v>49</v>
      </c>
      <c r="BF21" s="62">
        <v>46</v>
      </c>
      <c r="BG21" s="62">
        <v>35</v>
      </c>
      <c r="BH21" s="62">
        <v>47</v>
      </c>
      <c r="BI21" s="62">
        <v>45</v>
      </c>
      <c r="BJ21" s="62">
        <v>63</v>
      </c>
      <c r="BK21" s="149">
        <f>AVERAGE(BE21:BJ21)</f>
        <v>47.5</v>
      </c>
    </row>
    <row r="22" spans="2:63" s="3" customFormat="1">
      <c r="B22" s="88" t="s">
        <v>350</v>
      </c>
      <c r="C22" s="62">
        <v>24.7</v>
      </c>
      <c r="D22" s="62">
        <v>32.700000000000003</v>
      </c>
      <c r="E22" s="62">
        <v>27.9</v>
      </c>
      <c r="F22" s="62">
        <v>59</v>
      </c>
      <c r="G22" s="62">
        <v>92</v>
      </c>
      <c r="H22" s="62">
        <v>80</v>
      </c>
      <c r="I22" s="62">
        <v>1012</v>
      </c>
      <c r="J22" s="62">
        <v>4</v>
      </c>
      <c r="K22" s="62">
        <v>42</v>
      </c>
      <c r="L22" s="62">
        <v>154.1</v>
      </c>
      <c r="M22" s="62">
        <v>17</v>
      </c>
      <c r="N22" s="137">
        <v>24</v>
      </c>
      <c r="O22" s="137">
        <v>42</v>
      </c>
      <c r="P22" s="3">
        <f t="shared" si="6"/>
        <v>2.056</v>
      </c>
      <c r="T22" s="88" t="s">
        <v>349</v>
      </c>
      <c r="U22" s="62">
        <v>10</v>
      </c>
      <c r="V22" s="62">
        <v>19</v>
      </c>
      <c r="W22" s="62">
        <v>12</v>
      </c>
      <c r="X22" s="62">
        <v>18</v>
      </c>
      <c r="Y22" s="62">
        <v>18</v>
      </c>
      <c r="Z22" s="62">
        <v>10</v>
      </c>
      <c r="AA22" s="150">
        <f t="shared" ref="AA22:AA32" si="7">AVERAGE(U22:Z22)</f>
        <v>14.5</v>
      </c>
      <c r="AL22" s="88" t="s">
        <v>349</v>
      </c>
      <c r="AM22" s="62">
        <v>33.200000000000003</v>
      </c>
      <c r="AN22" s="62">
        <v>32</v>
      </c>
      <c r="AO22" s="62">
        <v>34.200000000000003</v>
      </c>
      <c r="AP22" s="62">
        <v>32.799999999999997</v>
      </c>
      <c r="AQ22" s="62">
        <v>32.5</v>
      </c>
      <c r="AR22" s="62">
        <v>33.5</v>
      </c>
      <c r="AS22" s="149">
        <f t="shared" ref="AS22:AS32" si="8">AVERAGE(AM22:AR22)</f>
        <v>33.033333333333331</v>
      </c>
      <c r="AU22" s="88" t="s">
        <v>349</v>
      </c>
      <c r="AV22" s="62">
        <v>27.7</v>
      </c>
      <c r="AW22" s="62">
        <v>1013.1</v>
      </c>
      <c r="AX22" s="62">
        <v>1013</v>
      </c>
      <c r="AY22" s="62">
        <v>1012.3</v>
      </c>
      <c r="AZ22" s="62">
        <v>1012</v>
      </c>
      <c r="BA22" s="62">
        <v>1014</v>
      </c>
      <c r="BB22" s="149">
        <f t="shared" ref="BB22:BB32" si="9">AVERAGE(AW22:BA22)</f>
        <v>1012.8799999999999</v>
      </c>
      <c r="BD22" s="88" t="s">
        <v>349</v>
      </c>
      <c r="BE22" s="62">
        <v>38</v>
      </c>
      <c r="BF22" s="62">
        <v>42</v>
      </c>
      <c r="BG22" s="62">
        <v>31</v>
      </c>
      <c r="BH22" s="62">
        <v>40</v>
      </c>
      <c r="BI22" s="62">
        <v>46</v>
      </c>
      <c r="BJ22" s="62">
        <v>52</v>
      </c>
      <c r="BK22" s="149">
        <f t="shared" ref="BK22:BK32" si="10">AVERAGE(BE22:BJ22)</f>
        <v>41.5</v>
      </c>
    </row>
    <row r="23" spans="2:63" s="3" customFormat="1">
      <c r="B23" s="88" t="s">
        <v>351</v>
      </c>
      <c r="C23" s="62">
        <v>25.1</v>
      </c>
      <c r="D23" s="62">
        <v>32.9</v>
      </c>
      <c r="E23" s="62">
        <v>27.8</v>
      </c>
      <c r="F23" s="62">
        <v>60</v>
      </c>
      <c r="G23" s="62">
        <v>94</v>
      </c>
      <c r="H23" s="62">
        <v>82</v>
      </c>
      <c r="I23" s="62">
        <v>1011.5</v>
      </c>
      <c r="J23" s="62">
        <v>4</v>
      </c>
      <c r="K23" s="62">
        <v>44</v>
      </c>
      <c r="L23" s="62">
        <v>180.2</v>
      </c>
      <c r="M23" s="62">
        <v>20</v>
      </c>
      <c r="N23" s="137">
        <v>25</v>
      </c>
      <c r="O23" s="137">
        <v>47</v>
      </c>
      <c r="P23" s="3">
        <f t="shared" si="6"/>
        <v>2.056</v>
      </c>
      <c r="T23" s="88" t="s">
        <v>350</v>
      </c>
      <c r="U23" s="62">
        <v>16</v>
      </c>
      <c r="V23" s="62">
        <v>17</v>
      </c>
      <c r="W23" s="62">
        <v>14</v>
      </c>
      <c r="X23" s="62">
        <v>20</v>
      </c>
      <c r="Y23" s="62">
        <v>17</v>
      </c>
      <c r="Z23" s="62">
        <v>17</v>
      </c>
      <c r="AA23" s="150">
        <f t="shared" si="7"/>
        <v>16.833333333333332</v>
      </c>
      <c r="AL23" s="88" t="s">
        <v>350</v>
      </c>
      <c r="AM23" s="62">
        <v>33.200000000000003</v>
      </c>
      <c r="AN23" s="62">
        <v>32.6</v>
      </c>
      <c r="AO23" s="62">
        <v>34</v>
      </c>
      <c r="AP23" s="62">
        <v>32.700000000000003</v>
      </c>
      <c r="AQ23" s="62">
        <v>32.700000000000003</v>
      </c>
      <c r="AR23" s="62">
        <v>33.799999999999997</v>
      </c>
      <c r="AS23" s="149">
        <f t="shared" si="8"/>
        <v>33.166666666666664</v>
      </c>
      <c r="AU23" s="88" t="s">
        <v>350</v>
      </c>
      <c r="AV23" s="62">
        <v>27.7</v>
      </c>
      <c r="AW23" s="62">
        <v>1013.4</v>
      </c>
      <c r="AX23" s="62">
        <v>1014</v>
      </c>
      <c r="AY23" s="62">
        <v>1012.4</v>
      </c>
      <c r="AZ23" s="62">
        <v>1012</v>
      </c>
      <c r="BA23" s="62">
        <v>1013.2</v>
      </c>
      <c r="BB23" s="149">
        <f t="shared" si="9"/>
        <v>1013</v>
      </c>
      <c r="BD23" s="88" t="s">
        <v>350</v>
      </c>
      <c r="BE23" s="62">
        <v>40</v>
      </c>
      <c r="BF23" s="62">
        <v>44</v>
      </c>
      <c r="BG23" s="62">
        <v>39</v>
      </c>
      <c r="BH23" s="62">
        <v>43</v>
      </c>
      <c r="BI23" s="62">
        <v>42</v>
      </c>
      <c r="BJ23" s="62">
        <v>60</v>
      </c>
      <c r="BK23" s="149">
        <f t="shared" si="10"/>
        <v>44.666666666666664</v>
      </c>
    </row>
    <row r="24" spans="2:63" s="3" customFormat="1">
      <c r="B24" s="88" t="s">
        <v>352</v>
      </c>
      <c r="C24" s="62">
        <v>25.1</v>
      </c>
      <c r="D24" s="62">
        <v>33</v>
      </c>
      <c r="E24" s="62">
        <v>27.8</v>
      </c>
      <c r="F24" s="62">
        <v>63</v>
      </c>
      <c r="G24" s="62">
        <v>94</v>
      </c>
      <c r="H24" s="62">
        <v>84</v>
      </c>
      <c r="I24" s="62">
        <v>1011.7</v>
      </c>
      <c r="J24" s="62">
        <v>3</v>
      </c>
      <c r="K24" s="62">
        <v>44</v>
      </c>
      <c r="L24" s="62">
        <v>296.3</v>
      </c>
      <c r="M24" s="62">
        <v>21</v>
      </c>
      <c r="N24" s="137">
        <v>25</v>
      </c>
      <c r="O24" s="137">
        <v>31</v>
      </c>
      <c r="P24" s="3">
        <f t="shared" si="6"/>
        <v>1.542</v>
      </c>
      <c r="T24" s="88" t="s">
        <v>351</v>
      </c>
      <c r="U24" s="62">
        <v>19</v>
      </c>
      <c r="V24" s="62">
        <v>23</v>
      </c>
      <c r="W24" s="62">
        <v>15</v>
      </c>
      <c r="X24" s="62">
        <v>24</v>
      </c>
      <c r="Y24" s="62">
        <v>20</v>
      </c>
      <c r="Z24" s="62">
        <v>19</v>
      </c>
      <c r="AA24" s="150">
        <f t="shared" si="7"/>
        <v>20</v>
      </c>
      <c r="AL24" s="88" t="s">
        <v>351</v>
      </c>
      <c r="AM24" s="62">
        <v>32.9</v>
      </c>
      <c r="AN24" s="62">
        <v>33.1</v>
      </c>
      <c r="AO24" s="62">
        <v>33.700000000000003</v>
      </c>
      <c r="AP24" s="62">
        <v>32.6</v>
      </c>
      <c r="AQ24" s="62">
        <v>32.9</v>
      </c>
      <c r="AR24" s="62">
        <v>33.5</v>
      </c>
      <c r="AS24" s="149">
        <f t="shared" si="8"/>
        <v>33.116666666666667</v>
      </c>
      <c r="AU24" s="88" t="s">
        <v>351</v>
      </c>
      <c r="AV24" s="62">
        <v>27.9</v>
      </c>
      <c r="AW24" s="62">
        <v>1012.2</v>
      </c>
      <c r="AX24" s="62">
        <v>1013</v>
      </c>
      <c r="AY24" s="62">
        <v>1012.8</v>
      </c>
      <c r="AZ24" s="62">
        <v>1011.5</v>
      </c>
      <c r="BA24" s="62">
        <v>1012.2</v>
      </c>
      <c r="BB24" s="149">
        <f t="shared" si="9"/>
        <v>1012.3399999999999</v>
      </c>
      <c r="BD24" s="88" t="s">
        <v>351</v>
      </c>
      <c r="BE24" s="62">
        <v>36</v>
      </c>
      <c r="BF24" s="62">
        <v>38</v>
      </c>
      <c r="BG24" s="62">
        <v>41</v>
      </c>
      <c r="BH24" s="62">
        <v>36</v>
      </c>
      <c r="BI24" s="62">
        <v>47</v>
      </c>
      <c r="BJ24" s="62">
        <v>69</v>
      </c>
      <c r="BK24" s="149">
        <f t="shared" si="10"/>
        <v>44.5</v>
      </c>
    </row>
    <row r="25" spans="2:63" s="3" customFormat="1">
      <c r="B25" s="88" t="s">
        <v>353</v>
      </c>
      <c r="C25" s="62">
        <v>23.5</v>
      </c>
      <c r="D25" s="62">
        <v>32.9</v>
      </c>
      <c r="E25" s="62">
        <v>27.8</v>
      </c>
      <c r="F25" s="62">
        <v>62</v>
      </c>
      <c r="G25" s="62">
        <v>93</v>
      </c>
      <c r="H25" s="62">
        <v>83</v>
      </c>
      <c r="I25" s="62">
        <v>1012.6</v>
      </c>
      <c r="J25" s="62">
        <v>3</v>
      </c>
      <c r="K25" s="62">
        <v>42</v>
      </c>
      <c r="L25" s="62">
        <v>197</v>
      </c>
      <c r="M25" s="62">
        <v>15</v>
      </c>
      <c r="N25" s="137">
        <v>25</v>
      </c>
      <c r="O25" s="137">
        <v>31</v>
      </c>
      <c r="P25" s="3">
        <f t="shared" si="6"/>
        <v>1.542</v>
      </c>
      <c r="T25" s="88" t="s">
        <v>352</v>
      </c>
      <c r="U25" s="62">
        <v>21</v>
      </c>
      <c r="V25" s="62">
        <v>20</v>
      </c>
      <c r="W25" s="62">
        <v>23</v>
      </c>
      <c r="X25" s="62">
        <v>23</v>
      </c>
      <c r="Y25" s="62">
        <v>21</v>
      </c>
      <c r="Z25" s="62">
        <v>23</v>
      </c>
      <c r="AA25" s="150">
        <f t="shared" si="7"/>
        <v>21.833333333333332</v>
      </c>
      <c r="AL25" s="88" t="s">
        <v>352</v>
      </c>
      <c r="AM25" s="62">
        <v>32.700000000000003</v>
      </c>
      <c r="AN25" s="62">
        <v>34.799999999999997</v>
      </c>
      <c r="AO25" s="62">
        <v>33.5</v>
      </c>
      <c r="AP25" s="62">
        <v>32.4</v>
      </c>
      <c r="AQ25" s="62">
        <v>33</v>
      </c>
      <c r="AR25" s="62">
        <v>33.299999999999997</v>
      </c>
      <c r="AS25" s="149">
        <f t="shared" si="8"/>
        <v>33.283333333333331</v>
      </c>
      <c r="AU25" s="88" t="s">
        <v>352</v>
      </c>
      <c r="AV25" s="62">
        <v>27.7</v>
      </c>
      <c r="AW25" s="62">
        <v>1012.7</v>
      </c>
      <c r="AX25" s="62">
        <v>1012</v>
      </c>
      <c r="AY25" s="62">
        <v>1011.9</v>
      </c>
      <c r="AZ25" s="62">
        <v>1011.7</v>
      </c>
      <c r="BA25" s="62">
        <v>1012.5</v>
      </c>
      <c r="BB25" s="149">
        <f t="shared" si="9"/>
        <v>1012.1600000000001</v>
      </c>
      <c r="BD25" s="88" t="s">
        <v>352</v>
      </c>
      <c r="BE25" s="62">
        <v>34</v>
      </c>
      <c r="BF25" s="62">
        <v>33</v>
      </c>
      <c r="BG25" s="62">
        <v>36</v>
      </c>
      <c r="BH25" s="62">
        <v>38</v>
      </c>
      <c r="BI25" s="62">
        <v>31</v>
      </c>
      <c r="BJ25" s="62">
        <v>62</v>
      </c>
      <c r="BK25" s="149">
        <f t="shared" si="10"/>
        <v>39</v>
      </c>
    </row>
    <row r="26" spans="2:63" s="3" customFormat="1">
      <c r="B26" s="88" t="s">
        <v>354</v>
      </c>
      <c r="C26" s="62">
        <v>21.7</v>
      </c>
      <c r="D26" s="62">
        <v>31.9</v>
      </c>
      <c r="E26" s="62">
        <v>27.9</v>
      </c>
      <c r="F26" s="62">
        <v>62</v>
      </c>
      <c r="G26" s="62">
        <v>91</v>
      </c>
      <c r="H26" s="62">
        <v>81</v>
      </c>
      <c r="I26" s="62">
        <v>1011.7</v>
      </c>
      <c r="J26" s="62">
        <v>4</v>
      </c>
      <c r="K26" s="62">
        <v>47</v>
      </c>
      <c r="L26" s="62">
        <v>136.9</v>
      </c>
      <c r="M26" s="62">
        <v>12</v>
      </c>
      <c r="N26" s="137">
        <v>25</v>
      </c>
      <c r="O26" s="137">
        <v>36</v>
      </c>
      <c r="P26" s="3">
        <f t="shared" si="6"/>
        <v>2.056</v>
      </c>
      <c r="T26" s="88" t="s">
        <v>353</v>
      </c>
      <c r="U26" s="62">
        <v>19</v>
      </c>
      <c r="V26" s="62">
        <v>23</v>
      </c>
      <c r="W26" s="62">
        <v>20</v>
      </c>
      <c r="X26" s="62">
        <v>22</v>
      </c>
      <c r="Y26" s="62">
        <v>15</v>
      </c>
      <c r="Z26" s="62">
        <v>22</v>
      </c>
      <c r="AA26" s="150">
        <f t="shared" si="7"/>
        <v>20.166666666666668</v>
      </c>
      <c r="AL26" s="88" t="s">
        <v>353</v>
      </c>
      <c r="AM26" s="62">
        <v>32</v>
      </c>
      <c r="AN26" s="62">
        <v>34</v>
      </c>
      <c r="AO26" s="62">
        <v>32.200000000000003</v>
      </c>
      <c r="AP26" s="62">
        <v>31.9</v>
      </c>
      <c r="AQ26" s="62">
        <v>32.9</v>
      </c>
      <c r="AR26" s="62">
        <v>32.299999999999997</v>
      </c>
      <c r="AS26" s="149">
        <f t="shared" si="8"/>
        <v>32.550000000000004</v>
      </c>
      <c r="AU26" s="88" t="s">
        <v>353</v>
      </c>
      <c r="AV26" s="62">
        <v>27.5</v>
      </c>
      <c r="AW26" s="62">
        <v>1012.4</v>
      </c>
      <c r="AX26" s="62">
        <v>1013</v>
      </c>
      <c r="AY26" s="62">
        <v>1012.6</v>
      </c>
      <c r="AZ26" s="62">
        <v>1012.6</v>
      </c>
      <c r="BA26" s="62">
        <v>1012.1</v>
      </c>
      <c r="BB26" s="149">
        <f t="shared" si="9"/>
        <v>1012.54</v>
      </c>
      <c r="BD26" s="88" t="s">
        <v>353</v>
      </c>
      <c r="BE26" s="62">
        <v>39</v>
      </c>
      <c r="BF26" s="62">
        <v>41</v>
      </c>
      <c r="BG26" s="62">
        <v>40</v>
      </c>
      <c r="BH26" s="62">
        <v>54</v>
      </c>
      <c r="BI26" s="62">
        <v>31</v>
      </c>
      <c r="BJ26" s="62">
        <v>69</v>
      </c>
      <c r="BK26" s="149">
        <f t="shared" si="10"/>
        <v>45.666666666666664</v>
      </c>
    </row>
    <row r="27" spans="2:63" s="3" customFormat="1">
      <c r="B27" s="88" t="s">
        <v>355</v>
      </c>
      <c r="C27" s="62">
        <v>23.2</v>
      </c>
      <c r="D27" s="62">
        <v>32.799999999999997</v>
      </c>
      <c r="E27" s="62">
        <v>28</v>
      </c>
      <c r="F27" s="62">
        <v>60</v>
      </c>
      <c r="G27" s="62">
        <v>90</v>
      </c>
      <c r="H27" s="62">
        <v>78</v>
      </c>
      <c r="I27" s="62">
        <v>1012.5</v>
      </c>
      <c r="J27" s="62">
        <v>4</v>
      </c>
      <c r="K27" s="62">
        <v>47</v>
      </c>
      <c r="L27" s="62">
        <v>47.9</v>
      </c>
      <c r="M27" s="62">
        <v>10</v>
      </c>
      <c r="N27" s="137">
        <v>24</v>
      </c>
      <c r="O27" s="137">
        <v>32</v>
      </c>
      <c r="P27" s="3">
        <f t="shared" si="6"/>
        <v>2.056</v>
      </c>
      <c r="T27" s="88" t="s">
        <v>354</v>
      </c>
      <c r="U27" s="62">
        <v>15</v>
      </c>
      <c r="V27" s="62">
        <v>11</v>
      </c>
      <c r="W27" s="62">
        <v>19</v>
      </c>
      <c r="X27" s="62">
        <v>19</v>
      </c>
      <c r="Y27" s="62">
        <v>12</v>
      </c>
      <c r="Z27" s="62">
        <v>14</v>
      </c>
      <c r="AA27" s="150">
        <f t="shared" si="7"/>
        <v>15</v>
      </c>
      <c r="AL27" s="88" t="s">
        <v>354</v>
      </c>
      <c r="AM27" s="62">
        <v>32.6</v>
      </c>
      <c r="AN27" s="62">
        <v>33.9</v>
      </c>
      <c r="AO27" s="62">
        <v>32.799999999999997</v>
      </c>
      <c r="AP27" s="62">
        <v>32.299999999999997</v>
      </c>
      <c r="AQ27" s="62">
        <v>31.9</v>
      </c>
      <c r="AR27" s="62">
        <v>32.799999999999997</v>
      </c>
      <c r="AS27" s="149">
        <f t="shared" si="8"/>
        <v>32.716666666666669</v>
      </c>
      <c r="AU27" s="88" t="s">
        <v>354</v>
      </c>
      <c r="AV27" s="62">
        <v>27.8</v>
      </c>
      <c r="AW27" s="62">
        <v>1013.1</v>
      </c>
      <c r="AX27" s="62">
        <v>1012</v>
      </c>
      <c r="AY27" s="62">
        <v>1012.7</v>
      </c>
      <c r="AZ27" s="62">
        <v>1011.7</v>
      </c>
      <c r="BA27" s="62">
        <v>1012.8</v>
      </c>
      <c r="BB27" s="149">
        <f t="shared" si="9"/>
        <v>1012.46</v>
      </c>
      <c r="BD27" s="88" t="s">
        <v>354</v>
      </c>
      <c r="BE27" s="62">
        <v>31</v>
      </c>
      <c r="BF27" s="62">
        <v>24</v>
      </c>
      <c r="BG27" s="62">
        <v>38</v>
      </c>
      <c r="BH27" s="62">
        <v>40</v>
      </c>
      <c r="BI27" s="62">
        <v>36</v>
      </c>
      <c r="BJ27" s="62">
        <v>62</v>
      </c>
      <c r="BK27" s="149">
        <f t="shared" si="10"/>
        <v>38.5</v>
      </c>
    </row>
    <row r="28" spans="2:63" s="3" customFormat="1">
      <c r="B28" s="88" t="s">
        <v>356</v>
      </c>
      <c r="C28" s="62">
        <v>24.8</v>
      </c>
      <c r="D28" s="62">
        <v>33.6</v>
      </c>
      <c r="E28" s="62">
        <v>28.1</v>
      </c>
      <c r="F28" s="62">
        <v>55</v>
      </c>
      <c r="G28" s="62">
        <v>90</v>
      </c>
      <c r="H28" s="62">
        <v>77</v>
      </c>
      <c r="I28" s="62">
        <v>1012.9</v>
      </c>
      <c r="J28" s="62">
        <v>3</v>
      </c>
      <c r="K28" s="62">
        <v>60</v>
      </c>
      <c r="L28" s="62">
        <v>127.4</v>
      </c>
      <c r="M28" s="62">
        <v>9</v>
      </c>
      <c r="N28" s="137">
        <v>24</v>
      </c>
      <c r="O28" s="137">
        <v>25</v>
      </c>
      <c r="P28" s="3">
        <f t="shared" si="6"/>
        <v>1.542</v>
      </c>
      <c r="T28" s="88" t="s">
        <v>355</v>
      </c>
      <c r="U28" s="62">
        <v>24</v>
      </c>
      <c r="V28" s="62">
        <v>7</v>
      </c>
      <c r="W28" s="62">
        <v>19</v>
      </c>
      <c r="X28" s="62">
        <v>21</v>
      </c>
      <c r="Y28" s="62">
        <v>10</v>
      </c>
      <c r="Z28" s="62">
        <v>10</v>
      </c>
      <c r="AA28" s="150">
        <f t="shared" si="7"/>
        <v>15.166666666666666</v>
      </c>
      <c r="AL28" s="88" t="s">
        <v>355</v>
      </c>
      <c r="AM28" s="62">
        <v>31.6</v>
      </c>
      <c r="AN28" s="62">
        <v>35.200000000000003</v>
      </c>
      <c r="AO28" s="62">
        <v>33</v>
      </c>
      <c r="AP28" s="62">
        <v>31.6</v>
      </c>
      <c r="AQ28" s="62">
        <v>32.799999999999997</v>
      </c>
      <c r="AR28" s="62">
        <v>34.299999999999997</v>
      </c>
      <c r="AS28" s="149">
        <f t="shared" si="8"/>
        <v>33.083333333333336</v>
      </c>
      <c r="AU28" s="88" t="s">
        <v>355</v>
      </c>
      <c r="AV28" s="62">
        <v>27.1</v>
      </c>
      <c r="AW28" s="62">
        <v>1013.1</v>
      </c>
      <c r="AX28" s="62">
        <v>1012</v>
      </c>
      <c r="AY28" s="62">
        <v>1012.1</v>
      </c>
      <c r="AZ28" s="62">
        <v>1012.5</v>
      </c>
      <c r="BA28" s="62">
        <v>1013</v>
      </c>
      <c r="BB28" s="149">
        <f t="shared" si="9"/>
        <v>1012.54</v>
      </c>
      <c r="BD28" s="88" t="s">
        <v>355</v>
      </c>
      <c r="BE28" s="62">
        <v>32</v>
      </c>
      <c r="BF28" s="62">
        <v>23</v>
      </c>
      <c r="BG28" s="62">
        <v>30</v>
      </c>
      <c r="BH28" s="62">
        <v>43</v>
      </c>
      <c r="BI28" s="62">
        <v>32</v>
      </c>
      <c r="BJ28" s="62">
        <v>51</v>
      </c>
      <c r="BK28" s="149">
        <f t="shared" si="10"/>
        <v>35.166666666666664</v>
      </c>
    </row>
    <row r="29" spans="2:63" s="3" customFormat="1">
      <c r="B29" s="88" t="s">
        <v>357</v>
      </c>
      <c r="C29" s="62">
        <v>24.8</v>
      </c>
      <c r="D29" s="62">
        <v>32.9</v>
      </c>
      <c r="E29" s="62">
        <v>27.8</v>
      </c>
      <c r="F29" s="62">
        <v>61</v>
      </c>
      <c r="G29" s="62">
        <v>93</v>
      </c>
      <c r="H29" s="62">
        <v>81</v>
      </c>
      <c r="I29" s="62">
        <v>1013</v>
      </c>
      <c r="J29" s="62">
        <v>3</v>
      </c>
      <c r="K29" s="62">
        <v>42</v>
      </c>
      <c r="L29" s="62">
        <v>151.9</v>
      </c>
      <c r="M29" s="62">
        <v>20</v>
      </c>
      <c r="N29" s="137">
        <v>25</v>
      </c>
      <c r="O29" s="137">
        <v>60</v>
      </c>
      <c r="P29" s="3">
        <f t="shared" si="6"/>
        <v>1.542</v>
      </c>
      <c r="T29" s="88" t="s">
        <v>356</v>
      </c>
      <c r="U29" s="62">
        <v>12</v>
      </c>
      <c r="V29" s="62">
        <v>1</v>
      </c>
      <c r="W29" s="62">
        <v>24</v>
      </c>
      <c r="X29" s="62">
        <v>16</v>
      </c>
      <c r="Y29" s="62">
        <v>9</v>
      </c>
      <c r="Z29" s="62">
        <v>6</v>
      </c>
      <c r="AA29" s="150">
        <f t="shared" si="7"/>
        <v>11.333333333333334</v>
      </c>
      <c r="AL29" s="88" t="s">
        <v>356</v>
      </c>
      <c r="AM29" s="62">
        <v>33.299999999999997</v>
      </c>
      <c r="AN29" s="62">
        <v>35.200000000000003</v>
      </c>
      <c r="AO29" s="62">
        <v>32.5</v>
      </c>
      <c r="AP29" s="62">
        <v>32.200000000000003</v>
      </c>
      <c r="AQ29" s="62">
        <v>33.6</v>
      </c>
      <c r="AR29" s="62">
        <v>34.1</v>
      </c>
      <c r="AS29" s="149">
        <f t="shared" si="8"/>
        <v>33.483333333333327</v>
      </c>
      <c r="AU29" s="88" t="s">
        <v>356</v>
      </c>
      <c r="AV29" s="62">
        <v>27.9</v>
      </c>
      <c r="AW29" s="62">
        <v>1013.4</v>
      </c>
      <c r="AX29" s="62">
        <v>1013</v>
      </c>
      <c r="AY29" s="62">
        <v>1012.5</v>
      </c>
      <c r="AZ29" s="62">
        <v>1012.9</v>
      </c>
      <c r="BA29" s="62">
        <v>1013.8</v>
      </c>
      <c r="BB29" s="149">
        <f t="shared" si="9"/>
        <v>1013.1200000000001</v>
      </c>
      <c r="BD29" s="88" t="s">
        <v>356</v>
      </c>
      <c r="BE29" s="62">
        <v>28</v>
      </c>
      <c r="BF29" s="62">
        <v>25</v>
      </c>
      <c r="BG29" s="62">
        <v>39</v>
      </c>
      <c r="BH29" s="62">
        <v>38</v>
      </c>
      <c r="BI29" s="62">
        <v>25</v>
      </c>
      <c r="BJ29" s="62">
        <v>45</v>
      </c>
      <c r="BK29" s="149">
        <f t="shared" si="10"/>
        <v>33.333333333333336</v>
      </c>
    </row>
    <row r="30" spans="2:63" s="3" customFormat="1">
      <c r="B30" s="88" t="s">
        <v>358</v>
      </c>
      <c r="C30" s="62">
        <v>24.9</v>
      </c>
      <c r="D30" s="62">
        <v>32.799999999999997</v>
      </c>
      <c r="E30" s="62">
        <v>27.9</v>
      </c>
      <c r="F30" s="62">
        <v>63</v>
      </c>
      <c r="G30" s="62">
        <v>92</v>
      </c>
      <c r="H30" s="62">
        <v>82</v>
      </c>
      <c r="I30" s="62">
        <v>1011.5</v>
      </c>
      <c r="J30" s="62">
        <v>3</v>
      </c>
      <c r="K30" s="62">
        <v>35</v>
      </c>
      <c r="L30" s="62">
        <v>126.7</v>
      </c>
      <c r="M30" s="62">
        <v>20</v>
      </c>
      <c r="N30" s="137">
        <v>25</v>
      </c>
      <c r="O30" s="137">
        <v>58</v>
      </c>
      <c r="P30" s="3">
        <f t="shared" si="6"/>
        <v>1.542</v>
      </c>
      <c r="T30" s="88" t="s">
        <v>357</v>
      </c>
      <c r="U30" s="62">
        <v>7</v>
      </c>
      <c r="V30" s="62">
        <v>8</v>
      </c>
      <c r="W30" s="62">
        <v>24</v>
      </c>
      <c r="X30" s="62">
        <v>20</v>
      </c>
      <c r="Y30" s="62">
        <v>20</v>
      </c>
      <c r="Z30" s="62">
        <v>25</v>
      </c>
      <c r="AA30" s="150">
        <f t="shared" si="7"/>
        <v>17.333333333333332</v>
      </c>
      <c r="AL30" s="88" t="s">
        <v>357</v>
      </c>
      <c r="AM30" s="62">
        <v>34</v>
      </c>
      <c r="AN30" s="62">
        <v>36</v>
      </c>
      <c r="AO30" s="62">
        <v>32.1</v>
      </c>
      <c r="AP30" s="62">
        <v>33.299999999999997</v>
      </c>
      <c r="AQ30" s="62">
        <v>32.9</v>
      </c>
      <c r="AR30" s="62">
        <v>34</v>
      </c>
      <c r="AS30" s="149">
        <f t="shared" si="8"/>
        <v>33.716666666666661</v>
      </c>
      <c r="AU30" s="88" t="s">
        <v>357</v>
      </c>
      <c r="AV30" s="62">
        <v>28.5</v>
      </c>
      <c r="AW30" s="62">
        <v>1013.8</v>
      </c>
      <c r="AX30" s="62">
        <v>1012</v>
      </c>
      <c r="AY30" s="62">
        <v>1011.7</v>
      </c>
      <c r="AZ30" s="62">
        <v>1013</v>
      </c>
      <c r="BA30" s="62">
        <v>1012.5</v>
      </c>
      <c r="BB30" s="149">
        <f t="shared" si="9"/>
        <v>1012.6</v>
      </c>
      <c r="BD30" s="88" t="s">
        <v>357</v>
      </c>
      <c r="BE30" s="62">
        <v>23</v>
      </c>
      <c r="BF30" s="62">
        <v>21</v>
      </c>
      <c r="BG30" s="62">
        <v>45</v>
      </c>
      <c r="BH30" s="62">
        <v>30</v>
      </c>
      <c r="BI30" s="62">
        <v>60</v>
      </c>
      <c r="BJ30" s="62">
        <v>66</v>
      </c>
      <c r="BK30" s="149">
        <f t="shared" si="10"/>
        <v>40.833333333333336</v>
      </c>
    </row>
    <row r="31" spans="2:63" s="3" customFormat="1">
      <c r="B31" s="88" t="s">
        <v>359</v>
      </c>
      <c r="C31" s="62">
        <v>24.1</v>
      </c>
      <c r="D31" s="62">
        <v>33.4</v>
      </c>
      <c r="E31" s="62">
        <v>28.2</v>
      </c>
      <c r="F31" s="62">
        <v>60</v>
      </c>
      <c r="G31" s="62">
        <v>91</v>
      </c>
      <c r="H31" s="62">
        <v>80</v>
      </c>
      <c r="I31" s="62">
        <v>1011.8</v>
      </c>
      <c r="J31" s="62">
        <v>4</v>
      </c>
      <c r="K31" s="62">
        <v>36</v>
      </c>
      <c r="L31" s="62">
        <v>169.5</v>
      </c>
      <c r="M31" s="62">
        <v>16</v>
      </c>
      <c r="N31" s="137">
        <v>24</v>
      </c>
      <c r="O31" s="137">
        <v>58</v>
      </c>
      <c r="P31" s="3">
        <f t="shared" si="6"/>
        <v>2.056</v>
      </c>
      <c r="T31" s="88" t="s">
        <v>358</v>
      </c>
      <c r="U31" s="62">
        <v>23</v>
      </c>
      <c r="V31" s="62">
        <v>19</v>
      </c>
      <c r="W31" s="62">
        <v>19</v>
      </c>
      <c r="X31" s="62">
        <v>21</v>
      </c>
      <c r="Y31" s="62">
        <v>20</v>
      </c>
      <c r="Z31" s="62">
        <v>14</v>
      </c>
      <c r="AA31" s="150">
        <f t="shared" si="7"/>
        <v>19.333333333333332</v>
      </c>
      <c r="AL31" s="88" t="s">
        <v>358</v>
      </c>
      <c r="AM31" s="62">
        <v>32.700000000000003</v>
      </c>
      <c r="AN31" s="62">
        <v>35</v>
      </c>
      <c r="AO31" s="62">
        <v>32.799999999999997</v>
      </c>
      <c r="AP31" s="62">
        <v>32.799999999999997</v>
      </c>
      <c r="AQ31" s="62">
        <v>32.799999999999997</v>
      </c>
      <c r="AR31" s="62">
        <v>32</v>
      </c>
      <c r="AS31" s="149">
        <f t="shared" si="8"/>
        <v>33.016666666666673</v>
      </c>
      <c r="AU31" s="88" t="s">
        <v>358</v>
      </c>
      <c r="AV31" s="62">
        <v>27.7</v>
      </c>
      <c r="AW31" s="62">
        <v>1012</v>
      </c>
      <c r="AX31" s="62">
        <v>1011</v>
      </c>
      <c r="AY31" s="62">
        <v>1009.4</v>
      </c>
      <c r="AZ31" s="62">
        <v>1011.5</v>
      </c>
      <c r="BA31" s="62">
        <v>1011.1</v>
      </c>
      <c r="BB31" s="149">
        <f t="shared" si="9"/>
        <v>1011</v>
      </c>
      <c r="BD31" s="88" t="s">
        <v>358</v>
      </c>
      <c r="BE31" s="62">
        <v>33</v>
      </c>
      <c r="BF31" s="62">
        <v>31</v>
      </c>
      <c r="BG31" s="62">
        <v>38</v>
      </c>
      <c r="BH31" s="62">
        <v>41</v>
      </c>
      <c r="BI31" s="62">
        <v>58</v>
      </c>
      <c r="BJ31" s="62">
        <v>60</v>
      </c>
      <c r="BK31" s="149">
        <f t="shared" si="10"/>
        <v>43.5</v>
      </c>
    </row>
    <row r="32" spans="2:63" s="3" customFormat="1">
      <c r="B32" s="85" t="s">
        <v>360</v>
      </c>
      <c r="C32" s="92">
        <f t="shared" ref="C32:M32" si="11">AVERAGE(C20:C31)</f>
        <v>24.224999999999998</v>
      </c>
      <c r="D32" s="92">
        <f t="shared" si="11"/>
        <v>32.85</v>
      </c>
      <c r="E32" s="92">
        <f t="shared" si="11"/>
        <v>27.866666666666664</v>
      </c>
      <c r="F32" s="93">
        <f t="shared" si="11"/>
        <v>60.583333333333336</v>
      </c>
      <c r="G32" s="93">
        <f t="shared" si="11"/>
        <v>92</v>
      </c>
      <c r="H32" s="93">
        <f t="shared" si="11"/>
        <v>80.916666666666671</v>
      </c>
      <c r="I32" s="93">
        <f t="shared" si="11"/>
        <v>1012.025</v>
      </c>
      <c r="J32" s="93">
        <f t="shared" si="11"/>
        <v>3.5</v>
      </c>
      <c r="K32" s="93">
        <f t="shared" si="11"/>
        <v>43.083333333333336</v>
      </c>
      <c r="L32" s="92">
        <f t="shared" si="11"/>
        <v>158.45833333333337</v>
      </c>
      <c r="M32" s="93">
        <f t="shared" si="11"/>
        <v>16.333333333333332</v>
      </c>
      <c r="N32" s="2"/>
      <c r="O32" s="2"/>
      <c r="T32" s="88" t="s">
        <v>359</v>
      </c>
      <c r="U32" s="62">
        <v>25</v>
      </c>
      <c r="V32" s="62">
        <v>16</v>
      </c>
      <c r="W32" s="62">
        <v>27</v>
      </c>
      <c r="X32" s="62">
        <v>18</v>
      </c>
      <c r="Y32" s="62">
        <v>16</v>
      </c>
      <c r="Z32" s="62">
        <v>20</v>
      </c>
      <c r="AA32" s="150">
        <f t="shared" si="7"/>
        <v>20.333333333333332</v>
      </c>
      <c r="AL32" s="88" t="s">
        <v>359</v>
      </c>
      <c r="AM32" s="62">
        <v>32.5</v>
      </c>
      <c r="AN32" s="62">
        <v>35.6</v>
      </c>
      <c r="AO32" s="62">
        <v>32.799999999999997</v>
      </c>
      <c r="AP32" s="62">
        <v>33.1</v>
      </c>
      <c r="AQ32" s="62">
        <v>33.4</v>
      </c>
      <c r="AR32" s="62">
        <v>31.4</v>
      </c>
      <c r="AS32" s="149">
        <f t="shared" si="8"/>
        <v>33.133333333333333</v>
      </c>
      <c r="AU32" s="88" t="s">
        <v>359</v>
      </c>
      <c r="AV32" s="62">
        <v>27.5</v>
      </c>
      <c r="AW32" s="62">
        <v>1012.7</v>
      </c>
      <c r="AX32" s="62">
        <v>1011</v>
      </c>
      <c r="AY32" s="62">
        <v>1011</v>
      </c>
      <c r="AZ32" s="62">
        <v>1011.8</v>
      </c>
      <c r="BA32" s="62">
        <v>1012.2</v>
      </c>
      <c r="BB32" s="149">
        <f t="shared" si="9"/>
        <v>1011.74</v>
      </c>
      <c r="BD32" s="88" t="s">
        <v>359</v>
      </c>
      <c r="BE32" s="62">
        <v>48</v>
      </c>
      <c r="BF32" s="62">
        <v>37</v>
      </c>
      <c r="BG32" s="62">
        <v>40</v>
      </c>
      <c r="BH32" s="62">
        <v>43</v>
      </c>
      <c r="BI32" s="62">
        <v>58</v>
      </c>
      <c r="BJ32" s="62">
        <v>65</v>
      </c>
      <c r="BK32" s="149">
        <f t="shared" si="10"/>
        <v>48.5</v>
      </c>
    </row>
    <row r="33" spans="2:64" s="3" customFormat="1">
      <c r="B33" s="91">
        <v>2017</v>
      </c>
      <c r="C33" s="254"/>
      <c r="D33" s="255"/>
      <c r="E33" s="255"/>
      <c r="F33" s="255"/>
      <c r="G33" s="255"/>
      <c r="H33" s="255"/>
      <c r="I33" s="255"/>
      <c r="J33" s="255"/>
      <c r="K33" s="255"/>
      <c r="L33" s="255"/>
      <c r="M33" s="255"/>
      <c r="N33" s="255"/>
      <c r="O33" s="256"/>
    </row>
    <row r="34" spans="2:64" s="3" customFormat="1">
      <c r="B34" s="88" t="s">
        <v>348</v>
      </c>
      <c r="C34" s="62">
        <v>24.3</v>
      </c>
      <c r="D34" s="62">
        <v>31.9</v>
      </c>
      <c r="E34" s="62">
        <v>27.4</v>
      </c>
      <c r="F34" s="62">
        <v>63</v>
      </c>
      <c r="G34" s="62">
        <v>93</v>
      </c>
      <c r="H34" s="62">
        <v>82</v>
      </c>
      <c r="I34" s="62">
        <v>1011.8</v>
      </c>
      <c r="J34" s="62">
        <v>3</v>
      </c>
      <c r="K34" s="62">
        <v>38</v>
      </c>
      <c r="L34" s="62">
        <v>160.80000000000001</v>
      </c>
      <c r="M34" s="62">
        <v>25</v>
      </c>
      <c r="N34" s="137">
        <v>24</v>
      </c>
      <c r="O34" s="137">
        <v>47</v>
      </c>
      <c r="P34" s="3">
        <f>J34*$R$3</f>
        <v>1.542</v>
      </c>
    </row>
    <row r="35" spans="2:64" s="3" customFormat="1">
      <c r="B35" s="88" t="s">
        <v>349</v>
      </c>
      <c r="C35" s="62">
        <v>24.7</v>
      </c>
      <c r="D35" s="62">
        <v>32.799999999999997</v>
      </c>
      <c r="E35" s="62">
        <v>27.9</v>
      </c>
      <c r="F35" s="62">
        <v>60</v>
      </c>
      <c r="G35" s="62">
        <v>93</v>
      </c>
      <c r="H35" s="62">
        <v>80</v>
      </c>
      <c r="I35" s="62">
        <v>1012.3</v>
      </c>
      <c r="J35" s="62">
        <v>4</v>
      </c>
      <c r="K35" s="62">
        <v>43</v>
      </c>
      <c r="L35" s="62">
        <v>138.6</v>
      </c>
      <c r="M35" s="62">
        <v>18</v>
      </c>
      <c r="N35" s="137">
        <v>24</v>
      </c>
      <c r="O35" s="137">
        <v>40</v>
      </c>
      <c r="P35" s="3">
        <f t="shared" ref="P35:P45" si="12">J35*$R$3</f>
        <v>2.056</v>
      </c>
      <c r="AL35" s="152" t="s">
        <v>896</v>
      </c>
      <c r="BJ35" s="67" t="s">
        <v>903</v>
      </c>
      <c r="BK35" s="67" t="s">
        <v>904</v>
      </c>
      <c r="BL35" s="67" t="s">
        <v>905</v>
      </c>
    </row>
    <row r="36" spans="2:64" s="3" customFormat="1">
      <c r="B36" s="88" t="s">
        <v>350</v>
      </c>
      <c r="C36" s="62">
        <v>24.4</v>
      </c>
      <c r="D36" s="62">
        <v>32.700000000000003</v>
      </c>
      <c r="E36" s="62">
        <v>27.6</v>
      </c>
      <c r="F36" s="62">
        <v>61</v>
      </c>
      <c r="G36" s="62">
        <v>92</v>
      </c>
      <c r="H36" s="62">
        <v>81</v>
      </c>
      <c r="I36" s="62">
        <v>1012.4</v>
      </c>
      <c r="J36" s="62">
        <v>4</v>
      </c>
      <c r="K36" s="62">
        <v>39</v>
      </c>
      <c r="L36" s="62">
        <v>88.1</v>
      </c>
      <c r="M36" s="62">
        <v>20</v>
      </c>
      <c r="N36" s="137">
        <v>24</v>
      </c>
      <c r="O36" s="137">
        <v>43</v>
      </c>
      <c r="P36" s="3">
        <f t="shared" si="12"/>
        <v>2.056</v>
      </c>
      <c r="AM36" s="3">
        <v>2014</v>
      </c>
      <c r="AN36" s="3">
        <v>2015</v>
      </c>
      <c r="AO36" s="3">
        <v>2016</v>
      </c>
      <c r="AP36" s="3">
        <v>2017</v>
      </c>
      <c r="AQ36" s="3">
        <v>2018</v>
      </c>
      <c r="AR36" s="3">
        <v>2019</v>
      </c>
      <c r="AV36" s="3" t="s">
        <v>902</v>
      </c>
      <c r="AW36" s="3" t="s">
        <v>901</v>
      </c>
      <c r="BI36" s="88" t="s">
        <v>348</v>
      </c>
      <c r="BJ36" s="153">
        <v>41.4</v>
      </c>
      <c r="BK36" s="153">
        <v>47.5</v>
      </c>
      <c r="BL36" s="153">
        <f>(BJ36/100)*12</f>
        <v>4.968</v>
      </c>
    </row>
    <row r="37" spans="2:64" s="3" customFormat="1">
      <c r="B37" s="88" t="s">
        <v>351</v>
      </c>
      <c r="C37" s="62">
        <v>24.6</v>
      </c>
      <c r="D37" s="62">
        <v>32.6</v>
      </c>
      <c r="E37" s="62">
        <v>27.8</v>
      </c>
      <c r="F37" s="62">
        <v>62</v>
      </c>
      <c r="G37" s="62">
        <v>94</v>
      </c>
      <c r="H37" s="62">
        <v>82</v>
      </c>
      <c r="I37" s="62">
        <v>1012.8</v>
      </c>
      <c r="J37" s="62">
        <v>4</v>
      </c>
      <c r="K37" s="62">
        <v>40</v>
      </c>
      <c r="L37" s="62">
        <v>343.3</v>
      </c>
      <c r="M37" s="62">
        <v>24</v>
      </c>
      <c r="N37" s="137">
        <v>24</v>
      </c>
      <c r="O37" s="137">
        <v>36</v>
      </c>
      <c r="P37" s="3">
        <f t="shared" si="12"/>
        <v>2.056</v>
      </c>
      <c r="AL37" s="88" t="s">
        <v>348</v>
      </c>
      <c r="AM37" s="62">
        <v>24</v>
      </c>
      <c r="AN37" s="62">
        <v>23.9</v>
      </c>
      <c r="AO37" s="62">
        <v>25.6</v>
      </c>
      <c r="AP37" s="62">
        <v>24.3</v>
      </c>
      <c r="AQ37" s="62">
        <v>24.3</v>
      </c>
      <c r="AR37" s="62">
        <v>23.7</v>
      </c>
      <c r="AS37" s="149">
        <f>AVERAGE(AM37:AR37)</f>
        <v>24.299999999999997</v>
      </c>
      <c r="AU37" s="88" t="s">
        <v>348</v>
      </c>
      <c r="AV37" s="3">
        <v>1012.5</v>
      </c>
      <c r="AW37" s="147">
        <v>1.9532</v>
      </c>
      <c r="BI37" s="88" t="s">
        <v>349</v>
      </c>
      <c r="BJ37" s="153">
        <v>50.199999999999996</v>
      </c>
      <c r="BK37" s="153">
        <v>41.5</v>
      </c>
      <c r="BL37" s="153">
        <f t="shared" ref="BL37:BL47" si="13">(BJ37/100)*12</f>
        <v>6.024</v>
      </c>
    </row>
    <row r="38" spans="2:64" s="3" customFormat="1">
      <c r="B38" s="88" t="s">
        <v>352</v>
      </c>
      <c r="C38" s="62">
        <v>25.1</v>
      </c>
      <c r="D38" s="62">
        <v>32.4</v>
      </c>
      <c r="E38" s="62">
        <v>27.7</v>
      </c>
      <c r="F38" s="62">
        <v>66</v>
      </c>
      <c r="G38" s="62">
        <v>94</v>
      </c>
      <c r="H38" s="62">
        <v>86</v>
      </c>
      <c r="I38" s="62">
        <v>1011.9</v>
      </c>
      <c r="J38" s="62">
        <v>4</v>
      </c>
      <c r="K38" s="62">
        <v>38</v>
      </c>
      <c r="L38" s="62">
        <v>309.3</v>
      </c>
      <c r="M38" s="62">
        <v>23</v>
      </c>
      <c r="N38" s="137">
        <v>25</v>
      </c>
      <c r="O38" s="137">
        <v>38</v>
      </c>
      <c r="P38" s="3">
        <f t="shared" si="12"/>
        <v>2.056</v>
      </c>
      <c r="AL38" s="88" t="s">
        <v>349</v>
      </c>
      <c r="AM38" s="62">
        <v>24.2</v>
      </c>
      <c r="AN38" s="62">
        <v>24.2</v>
      </c>
      <c r="AO38" s="62">
        <v>25.6</v>
      </c>
      <c r="AP38" s="62">
        <v>24.7</v>
      </c>
      <c r="AQ38" s="62">
        <v>24.5</v>
      </c>
      <c r="AR38" s="62">
        <v>23.8</v>
      </c>
      <c r="AS38" s="149">
        <f t="shared" ref="AS38:AS48" si="14">AVERAGE(AM38:AR38)</f>
        <v>24.5</v>
      </c>
      <c r="AU38" s="88" t="s">
        <v>349</v>
      </c>
      <c r="AV38" s="3">
        <v>1012.8799999999999</v>
      </c>
      <c r="AW38" s="147">
        <v>2.056</v>
      </c>
      <c r="BI38" s="88" t="s">
        <v>350</v>
      </c>
      <c r="BJ38" s="153">
        <v>47.85</v>
      </c>
      <c r="BK38" s="153">
        <v>44.666666666666664</v>
      </c>
      <c r="BL38" s="153">
        <f t="shared" si="13"/>
        <v>5.7420000000000009</v>
      </c>
    </row>
    <row r="39" spans="2:64" s="3" customFormat="1">
      <c r="B39" s="88" t="s">
        <v>353</v>
      </c>
      <c r="C39" s="62">
        <v>24.7</v>
      </c>
      <c r="D39" s="62">
        <v>31.9</v>
      </c>
      <c r="E39" s="62">
        <v>27.3</v>
      </c>
      <c r="F39" s="62">
        <v>65</v>
      </c>
      <c r="G39" s="62">
        <v>94</v>
      </c>
      <c r="H39" s="62">
        <v>84</v>
      </c>
      <c r="I39" s="62">
        <v>1012.6</v>
      </c>
      <c r="J39" s="62">
        <v>4</v>
      </c>
      <c r="K39" s="62">
        <v>38</v>
      </c>
      <c r="L39" s="62">
        <v>421.8</v>
      </c>
      <c r="M39" s="62">
        <v>22</v>
      </c>
      <c r="N39" s="137">
        <v>24</v>
      </c>
      <c r="O39" s="137">
        <v>54</v>
      </c>
      <c r="P39" s="3">
        <f t="shared" si="12"/>
        <v>2.056</v>
      </c>
      <c r="AL39" s="88" t="s">
        <v>350</v>
      </c>
      <c r="AM39" s="62">
        <v>24.7</v>
      </c>
      <c r="AN39" s="62">
        <v>24.6</v>
      </c>
      <c r="AO39" s="62">
        <v>26</v>
      </c>
      <c r="AP39" s="62">
        <v>24.4</v>
      </c>
      <c r="AQ39" s="62">
        <v>24.7</v>
      </c>
      <c r="AR39" s="62">
        <v>24.1</v>
      </c>
      <c r="AS39" s="149">
        <f t="shared" si="14"/>
        <v>24.75</v>
      </c>
      <c r="AU39" s="88" t="s">
        <v>350</v>
      </c>
      <c r="AV39" s="3">
        <v>1013</v>
      </c>
      <c r="AW39" s="147">
        <v>2.056</v>
      </c>
      <c r="BI39" s="88" t="s">
        <v>351</v>
      </c>
      <c r="BJ39" s="153">
        <v>46.300000000000004</v>
      </c>
      <c r="BK39" s="153">
        <v>44.5</v>
      </c>
      <c r="BL39" s="153">
        <f t="shared" si="13"/>
        <v>5.556</v>
      </c>
    </row>
    <row r="40" spans="2:64" s="3" customFormat="1">
      <c r="B40" s="88" t="s">
        <v>354</v>
      </c>
      <c r="C40" s="62">
        <v>24.8</v>
      </c>
      <c r="D40" s="62">
        <v>32.299999999999997</v>
      </c>
      <c r="E40" s="62">
        <v>27.7</v>
      </c>
      <c r="F40" s="62">
        <v>62</v>
      </c>
      <c r="G40" s="62">
        <v>93</v>
      </c>
      <c r="H40" s="62">
        <v>82</v>
      </c>
      <c r="I40" s="62">
        <v>1012.7</v>
      </c>
      <c r="J40" s="62">
        <v>4</v>
      </c>
      <c r="K40" s="62">
        <v>44</v>
      </c>
      <c r="L40" s="62">
        <v>160.9</v>
      </c>
      <c r="M40" s="62">
        <v>19</v>
      </c>
      <c r="N40" s="137">
        <v>24</v>
      </c>
      <c r="O40" s="137">
        <v>40</v>
      </c>
      <c r="P40" s="3">
        <f t="shared" si="12"/>
        <v>2.056</v>
      </c>
      <c r="U40" s="3" t="s">
        <v>334</v>
      </c>
      <c r="V40" s="3" t="s">
        <v>892</v>
      </c>
      <c r="W40" s="3" t="s">
        <v>893</v>
      </c>
      <c r="AL40" s="88" t="s">
        <v>351</v>
      </c>
      <c r="AM40" s="62">
        <v>24.7</v>
      </c>
      <c r="AN40" s="62">
        <v>24.5</v>
      </c>
      <c r="AO40" s="62">
        <v>25.9</v>
      </c>
      <c r="AP40" s="62">
        <v>24.6</v>
      </c>
      <c r="AQ40" s="62">
        <v>25.1</v>
      </c>
      <c r="AR40" s="62">
        <v>24.5</v>
      </c>
      <c r="AS40" s="149">
        <f t="shared" si="14"/>
        <v>24.883333333333329</v>
      </c>
      <c r="AU40" s="88" t="s">
        <v>351</v>
      </c>
      <c r="AV40" s="3">
        <v>1012.3399999999999</v>
      </c>
      <c r="AW40" s="147">
        <v>2.1588000000000003</v>
      </c>
      <c r="BI40" s="88" t="s">
        <v>352</v>
      </c>
      <c r="BJ40" s="153">
        <v>43.6</v>
      </c>
      <c r="BK40" s="153">
        <v>39</v>
      </c>
      <c r="BL40" s="153">
        <f t="shared" si="13"/>
        <v>5.2320000000000002</v>
      </c>
    </row>
    <row r="41" spans="2:64" s="3" customFormat="1">
      <c r="B41" s="88" t="s">
        <v>355</v>
      </c>
      <c r="C41" s="62">
        <v>24.7</v>
      </c>
      <c r="D41" s="62">
        <v>31.6</v>
      </c>
      <c r="E41" s="62">
        <v>27.2</v>
      </c>
      <c r="F41" s="62">
        <v>65</v>
      </c>
      <c r="G41" s="62">
        <v>92</v>
      </c>
      <c r="H41" s="62">
        <v>83</v>
      </c>
      <c r="I41" s="62">
        <v>1012.1</v>
      </c>
      <c r="J41" s="62">
        <v>4</v>
      </c>
      <c r="K41" s="62">
        <v>30</v>
      </c>
      <c r="L41" s="62">
        <v>249.7</v>
      </c>
      <c r="M41" s="62">
        <v>21</v>
      </c>
      <c r="N41" s="137">
        <v>24</v>
      </c>
      <c r="O41" s="137">
        <v>43</v>
      </c>
      <c r="P41" s="3">
        <f t="shared" si="12"/>
        <v>2.056</v>
      </c>
      <c r="U41" s="151" t="s">
        <v>348</v>
      </c>
      <c r="V41" s="147">
        <v>222.2166666666667</v>
      </c>
      <c r="W41" s="148">
        <v>19.333333333333332</v>
      </c>
      <c r="AL41" s="88" t="s">
        <v>352</v>
      </c>
      <c r="AM41" s="62">
        <v>24.6</v>
      </c>
      <c r="AN41" s="62">
        <v>23.5</v>
      </c>
      <c r="AO41" s="62">
        <v>25.6</v>
      </c>
      <c r="AP41" s="62">
        <v>25.1</v>
      </c>
      <c r="AQ41" s="62">
        <v>25.1</v>
      </c>
      <c r="AR41" s="62">
        <v>24.3</v>
      </c>
      <c r="AS41" s="149">
        <f t="shared" si="14"/>
        <v>24.700000000000003</v>
      </c>
      <c r="AU41" s="88" t="s">
        <v>352</v>
      </c>
      <c r="AV41" s="3">
        <v>1012.1600000000001</v>
      </c>
      <c r="AW41" s="147">
        <v>1.7475999999999998</v>
      </c>
      <c r="BI41" s="88" t="s">
        <v>353</v>
      </c>
      <c r="BJ41" s="153">
        <v>35.43333333333333</v>
      </c>
      <c r="BK41" s="153">
        <v>45.666666666666664</v>
      </c>
      <c r="BL41" s="153">
        <f t="shared" si="13"/>
        <v>4.2519999999999989</v>
      </c>
    </row>
    <row r="42" spans="2:64" s="3" customFormat="1">
      <c r="B42" s="88" t="s">
        <v>356</v>
      </c>
      <c r="C42" s="62">
        <v>25</v>
      </c>
      <c r="D42" s="62">
        <v>32.200000000000003</v>
      </c>
      <c r="E42" s="62">
        <v>27.8</v>
      </c>
      <c r="F42" s="62">
        <v>63</v>
      </c>
      <c r="G42" s="62">
        <v>93</v>
      </c>
      <c r="H42" s="62">
        <v>82</v>
      </c>
      <c r="I42" s="62">
        <v>1012.5</v>
      </c>
      <c r="J42" s="62">
        <v>4</v>
      </c>
      <c r="K42" s="62">
        <v>34</v>
      </c>
      <c r="L42" s="62">
        <v>100</v>
      </c>
      <c r="M42" s="62">
        <v>16</v>
      </c>
      <c r="N42" s="137">
        <v>25</v>
      </c>
      <c r="O42" s="137">
        <v>38</v>
      </c>
      <c r="P42" s="3">
        <f t="shared" si="12"/>
        <v>2.056</v>
      </c>
      <c r="U42" s="151" t="s">
        <v>349</v>
      </c>
      <c r="V42" s="147">
        <v>127.91666666666667</v>
      </c>
      <c r="W42" s="148">
        <v>14.5</v>
      </c>
      <c r="AL42" s="88" t="s">
        <v>353</v>
      </c>
      <c r="AM42" s="62">
        <v>24.8</v>
      </c>
      <c r="AN42" s="62">
        <v>22.8</v>
      </c>
      <c r="AO42" s="62">
        <v>24.8</v>
      </c>
      <c r="AP42" s="62">
        <v>24.7</v>
      </c>
      <c r="AQ42" s="62">
        <v>23.5</v>
      </c>
      <c r="AR42" s="62">
        <v>24.3</v>
      </c>
      <c r="AS42" s="149">
        <f t="shared" si="14"/>
        <v>24.150000000000002</v>
      </c>
      <c r="AU42" s="88" t="s">
        <v>353</v>
      </c>
      <c r="AV42" s="3">
        <v>1012.54</v>
      </c>
      <c r="AW42" s="147">
        <v>1.8503999999999998</v>
      </c>
      <c r="BI42" s="88" t="s">
        <v>354</v>
      </c>
      <c r="BJ42" s="153">
        <v>48.699999999999996</v>
      </c>
      <c r="BK42" s="153">
        <v>38.5</v>
      </c>
      <c r="BL42" s="153">
        <f t="shared" si="13"/>
        <v>5.8439999999999994</v>
      </c>
    </row>
    <row r="43" spans="2:64" s="3" customFormat="1">
      <c r="B43" s="88" t="s">
        <v>357</v>
      </c>
      <c r="C43" s="62">
        <v>25.3</v>
      </c>
      <c r="D43" s="62">
        <v>33.299999999999997</v>
      </c>
      <c r="E43" s="62">
        <v>28.3</v>
      </c>
      <c r="F43" s="62">
        <v>50</v>
      </c>
      <c r="G43" s="62">
        <v>98</v>
      </c>
      <c r="H43" s="62">
        <v>77</v>
      </c>
      <c r="I43" s="62">
        <v>1011.7</v>
      </c>
      <c r="J43" s="62">
        <v>4</v>
      </c>
      <c r="K43" s="62">
        <v>47</v>
      </c>
      <c r="L43" s="62">
        <v>152</v>
      </c>
      <c r="M43" s="62">
        <v>20</v>
      </c>
      <c r="N43" s="137">
        <v>23</v>
      </c>
      <c r="O43" s="137">
        <v>30</v>
      </c>
      <c r="P43" s="3">
        <f t="shared" si="12"/>
        <v>2.056</v>
      </c>
      <c r="U43" s="151" t="s">
        <v>350</v>
      </c>
      <c r="V43" s="147">
        <v>212.48333333333332</v>
      </c>
      <c r="W43" s="148">
        <v>16.833333333333332</v>
      </c>
      <c r="AL43" s="88" t="s">
        <v>354</v>
      </c>
      <c r="AM43" s="62">
        <v>24.9</v>
      </c>
      <c r="AN43" s="62">
        <v>22.4</v>
      </c>
      <c r="AO43" s="62">
        <v>24.6</v>
      </c>
      <c r="AP43" s="62">
        <v>24.8</v>
      </c>
      <c r="AQ43" s="62">
        <v>21.7</v>
      </c>
      <c r="AR43" s="62">
        <v>24.1</v>
      </c>
      <c r="AS43" s="149">
        <f t="shared" si="14"/>
        <v>23.75</v>
      </c>
      <c r="AU43" s="88" t="s">
        <v>354</v>
      </c>
      <c r="AV43" s="3">
        <v>1012.46</v>
      </c>
      <c r="AW43" s="147">
        <v>2.056</v>
      </c>
      <c r="BI43" s="88" t="s">
        <v>355</v>
      </c>
      <c r="BJ43" s="153">
        <v>46.550000000000004</v>
      </c>
      <c r="BK43" s="153">
        <v>35.166666666666664</v>
      </c>
      <c r="BL43" s="153">
        <f t="shared" si="13"/>
        <v>5.5860000000000003</v>
      </c>
    </row>
    <row r="44" spans="2:64" s="3" customFormat="1">
      <c r="B44" s="88" t="s">
        <v>358</v>
      </c>
      <c r="C44" s="62">
        <v>24.8</v>
      </c>
      <c r="D44" s="62">
        <v>32.799999999999997</v>
      </c>
      <c r="E44" s="62">
        <v>28.1</v>
      </c>
      <c r="F44" s="62">
        <v>50</v>
      </c>
      <c r="G44" s="62">
        <v>95</v>
      </c>
      <c r="H44" s="62">
        <v>81</v>
      </c>
      <c r="I44" s="62">
        <v>1009.4</v>
      </c>
      <c r="J44" s="62">
        <v>4</v>
      </c>
      <c r="K44" s="62">
        <v>40</v>
      </c>
      <c r="L44" s="62">
        <v>218.8</v>
      </c>
      <c r="M44" s="62">
        <v>21</v>
      </c>
      <c r="N44" s="137">
        <v>24</v>
      </c>
      <c r="O44" s="137">
        <v>41</v>
      </c>
      <c r="P44" s="3">
        <f t="shared" si="12"/>
        <v>2.056</v>
      </c>
      <c r="U44" s="151" t="s">
        <v>351</v>
      </c>
      <c r="V44" s="147">
        <v>247.66666666666666</v>
      </c>
      <c r="W44" s="148">
        <v>20</v>
      </c>
      <c r="AL44" s="88" t="s">
        <v>355</v>
      </c>
      <c r="AM44" s="62">
        <v>24.2</v>
      </c>
      <c r="AN44" s="62">
        <v>24</v>
      </c>
      <c r="AO44" s="62">
        <v>24.8</v>
      </c>
      <c r="AP44" s="62">
        <v>24.7</v>
      </c>
      <c r="AQ44" s="62">
        <v>23.2</v>
      </c>
      <c r="AR44" s="62">
        <v>24.5</v>
      </c>
      <c r="AS44" s="149">
        <f t="shared" si="14"/>
        <v>24.233333333333334</v>
      </c>
      <c r="AU44" s="88" t="s">
        <v>355</v>
      </c>
      <c r="AV44" s="3">
        <v>1012.54</v>
      </c>
      <c r="AW44" s="147">
        <v>2.2616000000000001</v>
      </c>
      <c r="BI44" s="88" t="s">
        <v>356</v>
      </c>
      <c r="BJ44" s="153">
        <v>48.383333333333333</v>
      </c>
      <c r="BK44" s="153">
        <v>33.333333333333336</v>
      </c>
      <c r="BL44" s="153">
        <f t="shared" si="13"/>
        <v>5.806</v>
      </c>
    </row>
    <row r="45" spans="2:64" s="3" customFormat="1">
      <c r="B45" s="88" t="s">
        <v>359</v>
      </c>
      <c r="C45" s="62">
        <v>24.9</v>
      </c>
      <c r="D45" s="62">
        <v>33.1</v>
      </c>
      <c r="E45" s="62">
        <v>28</v>
      </c>
      <c r="F45" s="62">
        <v>49</v>
      </c>
      <c r="G45" s="62">
        <v>98</v>
      </c>
      <c r="H45" s="62">
        <v>76</v>
      </c>
      <c r="I45" s="62">
        <v>1011</v>
      </c>
      <c r="J45" s="62">
        <v>4</v>
      </c>
      <c r="K45" s="62">
        <v>40</v>
      </c>
      <c r="L45" s="62">
        <v>223.1</v>
      </c>
      <c r="M45" s="62">
        <v>18</v>
      </c>
      <c r="N45" s="137">
        <v>23</v>
      </c>
      <c r="O45" s="137">
        <v>43</v>
      </c>
      <c r="P45" s="3">
        <f t="shared" si="12"/>
        <v>2.056</v>
      </c>
      <c r="U45" s="151" t="s">
        <v>352</v>
      </c>
      <c r="V45" s="147">
        <v>237.83333333333329</v>
      </c>
      <c r="W45" s="148">
        <v>21.833333333333332</v>
      </c>
      <c r="AL45" s="88" t="s">
        <v>356</v>
      </c>
      <c r="AM45" s="62">
        <v>24.5</v>
      </c>
      <c r="AN45" s="62">
        <v>22.2</v>
      </c>
      <c r="AO45" s="62">
        <v>24.3</v>
      </c>
      <c r="AP45" s="62">
        <v>25</v>
      </c>
      <c r="AQ45" s="62">
        <v>24.8</v>
      </c>
      <c r="AR45" s="62">
        <v>24.6</v>
      </c>
      <c r="AS45" s="149">
        <f t="shared" si="14"/>
        <v>24.233333333333334</v>
      </c>
      <c r="AU45" s="88" t="s">
        <v>356</v>
      </c>
      <c r="AV45" s="3">
        <v>1013.1200000000001</v>
      </c>
      <c r="AW45" s="147">
        <v>2.1588000000000003</v>
      </c>
      <c r="BI45" s="88" t="s">
        <v>357</v>
      </c>
      <c r="BJ45" s="153">
        <v>45.366666666666667</v>
      </c>
      <c r="BK45" s="153">
        <v>40.833333333333336</v>
      </c>
      <c r="BL45" s="153">
        <f t="shared" si="13"/>
        <v>5.444</v>
      </c>
    </row>
    <row r="46" spans="2:64" s="3" customFormat="1">
      <c r="B46" s="85" t="s">
        <v>360</v>
      </c>
      <c r="C46" s="92">
        <f t="shared" ref="C46:M46" si="15">AVERAGE(C34:C45)</f>
        <v>24.774999999999995</v>
      </c>
      <c r="D46" s="92">
        <f t="shared" si="15"/>
        <v>32.466666666666676</v>
      </c>
      <c r="E46" s="92">
        <f t="shared" si="15"/>
        <v>27.733333333333334</v>
      </c>
      <c r="F46" s="93">
        <f t="shared" si="15"/>
        <v>59.666666666666664</v>
      </c>
      <c r="G46" s="93">
        <f t="shared" si="15"/>
        <v>94.083333333333329</v>
      </c>
      <c r="H46" s="93">
        <f t="shared" si="15"/>
        <v>81.333333333333329</v>
      </c>
      <c r="I46" s="93">
        <f t="shared" si="15"/>
        <v>1011.9333333333334</v>
      </c>
      <c r="J46" s="93">
        <f t="shared" si="15"/>
        <v>3.9166666666666665</v>
      </c>
      <c r="K46" s="93">
        <f t="shared" si="15"/>
        <v>39.25</v>
      </c>
      <c r="L46" s="92">
        <f t="shared" si="15"/>
        <v>213.86666666666667</v>
      </c>
      <c r="M46" s="93">
        <f t="shared" si="15"/>
        <v>20.583333333333332</v>
      </c>
      <c r="N46" s="2"/>
      <c r="O46" s="2"/>
      <c r="U46" s="151" t="s">
        <v>353</v>
      </c>
      <c r="V46" s="147">
        <v>257.3</v>
      </c>
      <c r="W46" s="148">
        <v>20.166666666666668</v>
      </c>
      <c r="AL46" s="88" t="s">
        <v>357</v>
      </c>
      <c r="AM46" s="62">
        <v>24.8</v>
      </c>
      <c r="AN46" s="62">
        <v>23.2</v>
      </c>
      <c r="AO46" s="62">
        <v>24.7</v>
      </c>
      <c r="AP46" s="62">
        <v>25.3</v>
      </c>
      <c r="AQ46" s="62">
        <v>24.8</v>
      </c>
      <c r="AR46" s="62">
        <v>24.6</v>
      </c>
      <c r="AS46" s="149">
        <f t="shared" si="14"/>
        <v>24.566666666666666</v>
      </c>
      <c r="AU46" s="88" t="s">
        <v>357</v>
      </c>
      <c r="AV46" s="3">
        <v>1012.6</v>
      </c>
      <c r="AW46" s="147">
        <v>1.9634800000000001</v>
      </c>
      <c r="BI46" s="88" t="s">
        <v>358</v>
      </c>
      <c r="BJ46" s="153">
        <v>40.949999999999996</v>
      </c>
      <c r="BK46" s="153">
        <v>43.5</v>
      </c>
      <c r="BL46" s="153">
        <f t="shared" si="13"/>
        <v>4.9139999999999997</v>
      </c>
    </row>
    <row r="47" spans="2:64" s="3" customFormat="1">
      <c r="B47" s="91">
        <v>2016</v>
      </c>
      <c r="C47" s="254"/>
      <c r="D47" s="255"/>
      <c r="E47" s="255"/>
      <c r="F47" s="255"/>
      <c r="G47" s="255"/>
      <c r="H47" s="255"/>
      <c r="I47" s="255"/>
      <c r="J47" s="255"/>
      <c r="K47" s="255"/>
      <c r="L47" s="255"/>
      <c r="M47" s="255"/>
      <c r="N47" s="255"/>
      <c r="O47" s="256"/>
      <c r="U47" s="151" t="s">
        <v>354</v>
      </c>
      <c r="V47" s="147">
        <v>120.81666666666666</v>
      </c>
      <c r="W47" s="148">
        <v>15</v>
      </c>
      <c r="AL47" s="88" t="s">
        <v>358</v>
      </c>
      <c r="AM47" s="62">
        <v>24.7</v>
      </c>
      <c r="AN47" s="62">
        <v>23.4</v>
      </c>
      <c r="AO47" s="62">
        <v>25.1</v>
      </c>
      <c r="AP47" s="62">
        <v>24.8</v>
      </c>
      <c r="AQ47" s="62">
        <v>24.9</v>
      </c>
      <c r="AR47" s="62">
        <v>24.9</v>
      </c>
      <c r="AS47" s="149">
        <f t="shared" si="14"/>
        <v>24.633333333333329</v>
      </c>
      <c r="AU47" s="88" t="s">
        <v>358</v>
      </c>
      <c r="AV47" s="3">
        <v>1011</v>
      </c>
      <c r="AW47" s="147">
        <v>1.8298400000000001</v>
      </c>
      <c r="BI47" s="88" t="s">
        <v>359</v>
      </c>
      <c r="BJ47" s="153">
        <v>42.766666666666673</v>
      </c>
      <c r="BK47" s="153">
        <v>48.5</v>
      </c>
      <c r="BL47" s="153">
        <f t="shared" si="13"/>
        <v>5.1320000000000014</v>
      </c>
    </row>
    <row r="48" spans="2:64" s="3" customFormat="1">
      <c r="B48" s="88" t="s">
        <v>348</v>
      </c>
      <c r="C48" s="62">
        <v>25.6</v>
      </c>
      <c r="D48" s="62">
        <v>33.700000000000003</v>
      </c>
      <c r="E48" s="62">
        <v>28.7</v>
      </c>
      <c r="F48" s="62">
        <v>55</v>
      </c>
      <c r="G48" s="62">
        <v>90</v>
      </c>
      <c r="H48" s="62">
        <v>76</v>
      </c>
      <c r="I48" s="62">
        <v>1014</v>
      </c>
      <c r="J48" s="62">
        <v>6</v>
      </c>
      <c r="K48" s="62">
        <v>66</v>
      </c>
      <c r="L48" s="62">
        <v>158.80000000000001</v>
      </c>
      <c r="M48" s="62">
        <v>11</v>
      </c>
      <c r="N48" s="137">
        <v>25</v>
      </c>
      <c r="O48" s="137">
        <v>35</v>
      </c>
      <c r="P48" s="3">
        <f>J48*$R$3</f>
        <v>3.0840000000000001</v>
      </c>
      <c r="U48" s="151" t="s">
        <v>355</v>
      </c>
      <c r="V48" s="147">
        <v>99.716666666666654</v>
      </c>
      <c r="W48" s="148">
        <v>15.166666666666666</v>
      </c>
      <c r="AL48" s="88" t="s">
        <v>359</v>
      </c>
      <c r="AM48" s="62">
        <v>24.4</v>
      </c>
      <c r="AN48" s="62">
        <v>23.6</v>
      </c>
      <c r="AO48" s="62">
        <v>24</v>
      </c>
      <c r="AP48" s="62">
        <v>24.9</v>
      </c>
      <c r="AQ48" s="62">
        <v>24.1</v>
      </c>
      <c r="AR48" s="62">
        <v>24.6</v>
      </c>
      <c r="AS48" s="149">
        <f t="shared" si="14"/>
        <v>24.266666666666666</v>
      </c>
      <c r="AU48" s="88" t="s">
        <v>359</v>
      </c>
      <c r="AV48" s="3">
        <v>1011.74</v>
      </c>
      <c r="AW48" s="147">
        <v>2.0148799999999998</v>
      </c>
    </row>
    <row r="49" spans="2:45" s="3" customFormat="1">
      <c r="B49" s="88" t="s">
        <v>349</v>
      </c>
      <c r="C49" s="62">
        <v>25.6</v>
      </c>
      <c r="D49" s="62">
        <v>34.200000000000003</v>
      </c>
      <c r="E49" s="62">
        <v>29</v>
      </c>
      <c r="F49" s="62">
        <v>52</v>
      </c>
      <c r="G49" s="62">
        <v>89</v>
      </c>
      <c r="H49" s="62">
        <v>75</v>
      </c>
      <c r="I49" s="62">
        <v>1013</v>
      </c>
      <c r="J49" s="62">
        <v>6</v>
      </c>
      <c r="K49" s="62">
        <v>67</v>
      </c>
      <c r="L49" s="62">
        <v>99.3</v>
      </c>
      <c r="M49" s="62">
        <v>12</v>
      </c>
      <c r="N49" s="137">
        <v>24</v>
      </c>
      <c r="O49" s="137">
        <v>31</v>
      </c>
      <c r="P49" s="3">
        <f t="shared" ref="P49:P59" si="16">J49*$R$3</f>
        <v>3.0840000000000001</v>
      </c>
      <c r="U49" s="151" t="s">
        <v>356</v>
      </c>
      <c r="V49" s="147">
        <v>97.433333333333337</v>
      </c>
      <c r="W49" s="148">
        <v>11.333333333333334</v>
      </c>
    </row>
    <row r="50" spans="2:45" s="3" customFormat="1">
      <c r="B50" s="88" t="s">
        <v>350</v>
      </c>
      <c r="C50" s="62">
        <v>26</v>
      </c>
      <c r="D50" s="62">
        <v>34</v>
      </c>
      <c r="E50" s="62">
        <v>29</v>
      </c>
      <c r="F50" s="62">
        <v>56</v>
      </c>
      <c r="G50" s="62">
        <v>89</v>
      </c>
      <c r="H50" s="62">
        <v>77</v>
      </c>
      <c r="I50" s="62">
        <v>1014</v>
      </c>
      <c r="J50" s="62">
        <v>5</v>
      </c>
      <c r="K50" s="62">
        <v>53</v>
      </c>
      <c r="L50" s="62">
        <v>317.60000000000002</v>
      </c>
      <c r="M50" s="62">
        <v>14</v>
      </c>
      <c r="N50" s="137">
        <v>25</v>
      </c>
      <c r="O50" s="137">
        <v>39</v>
      </c>
      <c r="P50" s="3">
        <f t="shared" si="16"/>
        <v>2.5700000000000003</v>
      </c>
      <c r="U50" s="151" t="s">
        <v>357</v>
      </c>
      <c r="V50" s="147">
        <v>144.41666666666666</v>
      </c>
      <c r="W50" s="148">
        <v>17.333333333333332</v>
      </c>
    </row>
    <row r="51" spans="2:45" s="3" customFormat="1">
      <c r="B51" s="88" t="s">
        <v>351</v>
      </c>
      <c r="C51" s="62">
        <v>25.9</v>
      </c>
      <c r="D51" s="62">
        <v>33.700000000000003</v>
      </c>
      <c r="E51" s="62">
        <v>29</v>
      </c>
      <c r="F51" s="62">
        <v>57</v>
      </c>
      <c r="G51" s="62">
        <v>91</v>
      </c>
      <c r="H51" s="62">
        <v>78</v>
      </c>
      <c r="I51" s="62">
        <v>1013</v>
      </c>
      <c r="J51" s="62">
        <v>5</v>
      </c>
      <c r="K51" s="62">
        <v>58</v>
      </c>
      <c r="L51" s="62">
        <v>369.2</v>
      </c>
      <c r="M51" s="62">
        <v>15</v>
      </c>
      <c r="N51" s="137">
        <v>25</v>
      </c>
      <c r="O51" s="137">
        <v>41</v>
      </c>
      <c r="P51" s="3">
        <f t="shared" si="16"/>
        <v>2.5700000000000003</v>
      </c>
      <c r="U51" s="151" t="s">
        <v>358</v>
      </c>
      <c r="V51" s="147">
        <v>186.75</v>
      </c>
      <c r="W51" s="148">
        <v>19.333333333333332</v>
      </c>
      <c r="AL51" s="152" t="s">
        <v>897</v>
      </c>
    </row>
    <row r="52" spans="2:45" s="3" customFormat="1">
      <c r="B52" s="88" t="s">
        <v>352</v>
      </c>
      <c r="C52" s="62">
        <v>25.6</v>
      </c>
      <c r="D52" s="62">
        <v>33.5</v>
      </c>
      <c r="E52" s="62">
        <v>28.7</v>
      </c>
      <c r="F52" s="62">
        <v>62</v>
      </c>
      <c r="G52" s="62">
        <v>93</v>
      </c>
      <c r="H52" s="62">
        <v>82</v>
      </c>
      <c r="I52" s="62">
        <v>1012</v>
      </c>
      <c r="J52" s="62">
        <v>4</v>
      </c>
      <c r="K52" s="62">
        <v>51</v>
      </c>
      <c r="L52" s="62">
        <v>224.6</v>
      </c>
      <c r="M52" s="62">
        <v>23</v>
      </c>
      <c r="N52" s="137">
        <v>26</v>
      </c>
      <c r="O52" s="137">
        <v>36</v>
      </c>
      <c r="P52" s="3">
        <f t="shared" si="16"/>
        <v>2.056</v>
      </c>
      <c r="U52" s="151" t="s">
        <v>359</v>
      </c>
      <c r="V52" s="147">
        <v>298.46666666666664</v>
      </c>
      <c r="W52" s="148">
        <v>20.333333333333332</v>
      </c>
      <c r="AM52" s="3">
        <v>2014</v>
      </c>
      <c r="AN52" s="3">
        <v>2015</v>
      </c>
      <c r="AO52" s="3">
        <v>2016</v>
      </c>
      <c r="AP52" s="3">
        <v>2017</v>
      </c>
      <c r="AQ52" s="3">
        <v>2018</v>
      </c>
      <c r="AR52" s="3">
        <v>2019</v>
      </c>
    </row>
    <row r="53" spans="2:45" s="3" customFormat="1">
      <c r="B53" s="88" t="s">
        <v>353</v>
      </c>
      <c r="C53" s="62">
        <v>24.8</v>
      </c>
      <c r="D53" s="62">
        <v>32.200000000000003</v>
      </c>
      <c r="E53" s="62">
        <v>27.6</v>
      </c>
      <c r="F53" s="62">
        <v>64</v>
      </c>
      <c r="G53" s="62">
        <v>93</v>
      </c>
      <c r="H53" s="62">
        <v>83</v>
      </c>
      <c r="I53" s="62">
        <v>1013</v>
      </c>
      <c r="J53" s="62">
        <v>3</v>
      </c>
      <c r="K53" s="62">
        <v>34</v>
      </c>
      <c r="L53" s="62">
        <v>202</v>
      </c>
      <c r="M53" s="62">
        <v>20</v>
      </c>
      <c r="N53" s="137">
        <v>24</v>
      </c>
      <c r="O53" s="137">
        <v>40</v>
      </c>
      <c r="P53" s="3">
        <f t="shared" si="16"/>
        <v>1.542</v>
      </c>
      <c r="AL53" s="88" t="s">
        <v>348</v>
      </c>
      <c r="AM53" s="62">
        <v>82</v>
      </c>
      <c r="AN53" s="62">
        <v>83</v>
      </c>
      <c r="AO53" s="62">
        <v>76</v>
      </c>
      <c r="AP53" s="62">
        <v>82</v>
      </c>
      <c r="AQ53" s="62">
        <v>81</v>
      </c>
      <c r="AR53" s="62">
        <v>80</v>
      </c>
      <c r="AS53" s="150">
        <f>AVERAGE(AM53:AR53)</f>
        <v>80.666666666666671</v>
      </c>
    </row>
    <row r="54" spans="2:45" s="3" customFormat="1">
      <c r="B54" s="88" t="s">
        <v>354</v>
      </c>
      <c r="C54" s="62">
        <v>24.6</v>
      </c>
      <c r="D54" s="62">
        <v>32.799999999999997</v>
      </c>
      <c r="E54" s="62">
        <v>27.8</v>
      </c>
      <c r="F54" s="62">
        <v>62</v>
      </c>
      <c r="G54" s="62">
        <v>93</v>
      </c>
      <c r="H54" s="62">
        <v>82</v>
      </c>
      <c r="I54" s="62">
        <v>1012</v>
      </c>
      <c r="J54" s="62">
        <v>4</v>
      </c>
      <c r="K54" s="62">
        <v>49</v>
      </c>
      <c r="L54" s="62">
        <v>162.69999999999999</v>
      </c>
      <c r="M54" s="62">
        <v>19</v>
      </c>
      <c r="N54" s="137">
        <v>24</v>
      </c>
      <c r="O54" s="137">
        <v>38</v>
      </c>
      <c r="P54" s="3">
        <f t="shared" si="16"/>
        <v>2.056</v>
      </c>
      <c r="W54" s="148"/>
      <c r="AL54" s="88" t="s">
        <v>349</v>
      </c>
      <c r="AM54" s="62">
        <v>79</v>
      </c>
      <c r="AN54" s="62">
        <v>83</v>
      </c>
      <c r="AO54" s="62">
        <v>75</v>
      </c>
      <c r="AP54" s="62">
        <v>80</v>
      </c>
      <c r="AQ54" s="62">
        <v>82</v>
      </c>
      <c r="AR54" s="62">
        <v>76</v>
      </c>
      <c r="AS54" s="150">
        <f t="shared" ref="AS54:AS64" si="17">AVERAGE(AM54:AR54)</f>
        <v>79.166666666666671</v>
      </c>
    </row>
    <row r="55" spans="2:45" s="3" customFormat="1">
      <c r="B55" s="88" t="s">
        <v>355</v>
      </c>
      <c r="C55" s="62">
        <v>24.8</v>
      </c>
      <c r="D55" s="62">
        <v>33</v>
      </c>
      <c r="E55" s="62">
        <v>27.9</v>
      </c>
      <c r="F55" s="62">
        <v>60</v>
      </c>
      <c r="G55" s="62">
        <v>91</v>
      </c>
      <c r="H55" s="62">
        <v>80</v>
      </c>
      <c r="I55" s="62">
        <v>1012</v>
      </c>
      <c r="J55" s="62">
        <v>4</v>
      </c>
      <c r="K55" s="62">
        <v>48</v>
      </c>
      <c r="L55" s="62">
        <v>99.3</v>
      </c>
      <c r="M55" s="62">
        <v>19</v>
      </c>
      <c r="N55" s="137">
        <v>24</v>
      </c>
      <c r="O55" s="137">
        <v>30</v>
      </c>
      <c r="P55" s="3">
        <f t="shared" si="16"/>
        <v>2.056</v>
      </c>
      <c r="AL55" s="88" t="s">
        <v>350</v>
      </c>
      <c r="AM55" s="62">
        <v>82</v>
      </c>
      <c r="AN55" s="62">
        <v>81</v>
      </c>
      <c r="AO55" s="62">
        <v>77</v>
      </c>
      <c r="AP55" s="62">
        <v>81</v>
      </c>
      <c r="AQ55" s="62">
        <v>80</v>
      </c>
      <c r="AR55" s="62">
        <v>78</v>
      </c>
      <c r="AS55" s="150">
        <f t="shared" si="17"/>
        <v>79.833333333333329</v>
      </c>
    </row>
    <row r="56" spans="2:45" s="3" customFormat="1">
      <c r="B56" s="88" t="s">
        <v>356</v>
      </c>
      <c r="C56" s="62">
        <v>24.3</v>
      </c>
      <c r="D56" s="62">
        <v>32.5</v>
      </c>
      <c r="E56" s="62">
        <v>27.4</v>
      </c>
      <c r="F56" s="62">
        <v>63</v>
      </c>
      <c r="G56" s="62">
        <v>93</v>
      </c>
      <c r="H56" s="62">
        <v>83</v>
      </c>
      <c r="I56" s="62">
        <v>1013</v>
      </c>
      <c r="J56" s="62">
        <v>4</v>
      </c>
      <c r="K56" s="62">
        <v>38</v>
      </c>
      <c r="L56" s="62">
        <v>226.4</v>
      </c>
      <c r="M56" s="62">
        <v>24</v>
      </c>
      <c r="N56" s="137">
        <v>23</v>
      </c>
      <c r="O56" s="137">
        <v>39</v>
      </c>
      <c r="P56" s="3">
        <f t="shared" si="16"/>
        <v>2.056</v>
      </c>
      <c r="AL56" s="88" t="s">
        <v>351</v>
      </c>
      <c r="AM56" s="62">
        <v>82</v>
      </c>
      <c r="AN56" s="62">
        <v>81</v>
      </c>
      <c r="AO56" s="62">
        <v>78</v>
      </c>
      <c r="AP56" s="62">
        <v>82</v>
      </c>
      <c r="AQ56" s="62">
        <v>82</v>
      </c>
      <c r="AR56" s="62">
        <v>80</v>
      </c>
      <c r="AS56" s="150">
        <f t="shared" si="17"/>
        <v>80.833333333333329</v>
      </c>
    </row>
    <row r="57" spans="2:45" s="3" customFormat="1">
      <c r="B57" s="88" t="s">
        <v>357</v>
      </c>
      <c r="C57" s="62">
        <v>24.7</v>
      </c>
      <c r="D57" s="62">
        <v>32.1</v>
      </c>
      <c r="E57" s="62">
        <v>27.6</v>
      </c>
      <c r="F57" s="62">
        <v>64</v>
      </c>
      <c r="G57" s="62">
        <v>92</v>
      </c>
      <c r="H57" s="62">
        <v>79</v>
      </c>
      <c r="I57" s="62">
        <v>1012</v>
      </c>
      <c r="J57" s="62">
        <v>4</v>
      </c>
      <c r="K57" s="62">
        <v>30</v>
      </c>
      <c r="L57" s="62">
        <v>174.5</v>
      </c>
      <c r="M57" s="62">
        <v>24</v>
      </c>
      <c r="N57" s="137">
        <v>24</v>
      </c>
      <c r="O57" s="137">
        <v>45</v>
      </c>
      <c r="P57" s="3">
        <f t="shared" si="16"/>
        <v>2.056</v>
      </c>
      <c r="AL57" s="88" t="s">
        <v>352</v>
      </c>
      <c r="AM57" s="62">
        <v>84</v>
      </c>
      <c r="AN57" s="62">
        <v>84</v>
      </c>
      <c r="AO57" s="62">
        <v>82</v>
      </c>
      <c r="AP57" s="62">
        <v>86</v>
      </c>
      <c r="AQ57" s="62">
        <v>84</v>
      </c>
      <c r="AR57" s="62">
        <v>82</v>
      </c>
      <c r="AS57" s="150">
        <f t="shared" si="17"/>
        <v>83.666666666666671</v>
      </c>
    </row>
    <row r="58" spans="2:45" s="3" customFormat="1">
      <c r="B58" s="88" t="s">
        <v>358</v>
      </c>
      <c r="C58" s="62">
        <v>25.1</v>
      </c>
      <c r="D58" s="62">
        <v>32.799999999999997</v>
      </c>
      <c r="E58" s="62">
        <v>27.7</v>
      </c>
      <c r="F58" s="62">
        <v>65</v>
      </c>
      <c r="G58" s="62">
        <v>93</v>
      </c>
      <c r="H58" s="62">
        <v>84</v>
      </c>
      <c r="I58" s="62">
        <v>1011</v>
      </c>
      <c r="J58" s="62">
        <v>4</v>
      </c>
      <c r="K58" s="62">
        <v>33</v>
      </c>
      <c r="L58" s="62">
        <v>291.89999999999998</v>
      </c>
      <c r="M58" s="62">
        <v>19</v>
      </c>
      <c r="N58" s="137">
        <v>25</v>
      </c>
      <c r="O58" s="137">
        <v>38</v>
      </c>
      <c r="P58" s="3">
        <f t="shared" si="16"/>
        <v>2.056</v>
      </c>
      <c r="AL58" s="88" t="s">
        <v>353</v>
      </c>
      <c r="AM58" s="62">
        <v>84</v>
      </c>
      <c r="AN58" s="62">
        <v>83</v>
      </c>
      <c r="AO58" s="62">
        <v>83</v>
      </c>
      <c r="AP58" s="62">
        <v>84</v>
      </c>
      <c r="AQ58" s="62">
        <v>83</v>
      </c>
      <c r="AR58" s="62">
        <v>83</v>
      </c>
      <c r="AS58" s="150">
        <f t="shared" si="17"/>
        <v>83.333333333333329</v>
      </c>
    </row>
    <row r="59" spans="2:45" s="3" customFormat="1">
      <c r="B59" s="88" t="s">
        <v>359</v>
      </c>
      <c r="C59" s="62">
        <v>24</v>
      </c>
      <c r="D59" s="62">
        <v>32.799999999999997</v>
      </c>
      <c r="E59" s="62">
        <v>27.5</v>
      </c>
      <c r="F59" s="62">
        <v>62</v>
      </c>
      <c r="G59" s="62">
        <v>94</v>
      </c>
      <c r="H59" s="62">
        <v>57</v>
      </c>
      <c r="I59" s="62">
        <v>1011</v>
      </c>
      <c r="J59" s="62">
        <v>4</v>
      </c>
      <c r="K59" s="62">
        <v>39</v>
      </c>
      <c r="L59" s="62">
        <v>356.5</v>
      </c>
      <c r="M59" s="62">
        <v>27</v>
      </c>
      <c r="N59" s="137">
        <v>19</v>
      </c>
      <c r="O59" s="137">
        <v>40</v>
      </c>
      <c r="P59" s="3">
        <f t="shared" si="16"/>
        <v>2.056</v>
      </c>
      <c r="AL59" s="88" t="s">
        <v>354</v>
      </c>
      <c r="AM59" s="62">
        <v>81</v>
      </c>
      <c r="AN59" s="62">
        <v>80</v>
      </c>
      <c r="AO59" s="62">
        <v>82</v>
      </c>
      <c r="AP59" s="62">
        <v>82</v>
      </c>
      <c r="AQ59" s="62">
        <v>81</v>
      </c>
      <c r="AR59" s="62">
        <v>62</v>
      </c>
      <c r="AS59" s="150">
        <f t="shared" si="17"/>
        <v>78</v>
      </c>
    </row>
    <row r="60" spans="2:45" s="3" customFormat="1">
      <c r="B60" s="85" t="s">
        <v>360</v>
      </c>
      <c r="C60" s="92">
        <f t="shared" ref="C60:M60" si="18">AVERAGE(C48:C59)</f>
        <v>25.083333333333332</v>
      </c>
      <c r="D60" s="92">
        <f t="shared" si="18"/>
        <v>33.108333333333341</v>
      </c>
      <c r="E60" s="93">
        <f t="shared" si="18"/>
        <v>28.158333333333335</v>
      </c>
      <c r="F60" s="93">
        <f t="shared" si="18"/>
        <v>60.166666666666664</v>
      </c>
      <c r="G60" s="93">
        <f t="shared" si="18"/>
        <v>91.75</v>
      </c>
      <c r="H60" s="93">
        <f t="shared" si="18"/>
        <v>78</v>
      </c>
      <c r="I60" s="93">
        <f t="shared" si="18"/>
        <v>1012.5</v>
      </c>
      <c r="J60" s="93">
        <f t="shared" si="18"/>
        <v>4.416666666666667</v>
      </c>
      <c r="K60" s="93">
        <f t="shared" si="18"/>
        <v>47.166666666666664</v>
      </c>
      <c r="L60" s="93">
        <f t="shared" si="18"/>
        <v>223.56666666666669</v>
      </c>
      <c r="M60" s="93">
        <f t="shared" si="18"/>
        <v>18.916666666666668</v>
      </c>
      <c r="N60" s="2"/>
      <c r="O60" s="2"/>
      <c r="AL60" s="88" t="s">
        <v>355</v>
      </c>
      <c r="AM60" s="62">
        <v>83</v>
      </c>
      <c r="AN60" s="62">
        <v>76</v>
      </c>
      <c r="AO60" s="62">
        <v>80</v>
      </c>
      <c r="AP60" s="62">
        <v>83</v>
      </c>
      <c r="AQ60" s="62">
        <v>78</v>
      </c>
      <c r="AR60" s="62">
        <v>59</v>
      </c>
      <c r="AS60" s="150">
        <f t="shared" si="17"/>
        <v>76.5</v>
      </c>
    </row>
    <row r="61" spans="2:45" s="3" customFormat="1">
      <c r="B61" s="91">
        <v>2015</v>
      </c>
      <c r="C61" s="254"/>
      <c r="D61" s="255"/>
      <c r="E61" s="255"/>
      <c r="F61" s="255"/>
      <c r="G61" s="255"/>
      <c r="H61" s="255"/>
      <c r="I61" s="255"/>
      <c r="J61" s="255"/>
      <c r="K61" s="255"/>
      <c r="L61" s="255"/>
      <c r="M61" s="255"/>
      <c r="N61" s="255"/>
      <c r="O61" s="256"/>
      <c r="AL61" s="88" t="s">
        <v>356</v>
      </c>
      <c r="AM61" s="62">
        <v>79</v>
      </c>
      <c r="AN61" s="62">
        <v>75</v>
      </c>
      <c r="AO61" s="62">
        <v>83</v>
      </c>
      <c r="AP61" s="62">
        <v>82</v>
      </c>
      <c r="AQ61" s="62">
        <v>77</v>
      </c>
      <c r="AR61" s="62">
        <v>55</v>
      </c>
      <c r="AS61" s="150">
        <f t="shared" si="17"/>
        <v>75.166666666666671</v>
      </c>
    </row>
    <row r="62" spans="2:45" s="3" customFormat="1">
      <c r="B62" s="88" t="s">
        <v>348</v>
      </c>
      <c r="C62" s="65">
        <v>23.9</v>
      </c>
      <c r="D62" s="65">
        <v>31.7</v>
      </c>
      <c r="E62" s="65">
        <v>26.9</v>
      </c>
      <c r="F62" s="95" t="s">
        <v>25</v>
      </c>
      <c r="G62" s="95" t="s">
        <v>25</v>
      </c>
      <c r="H62" s="62">
        <v>83</v>
      </c>
      <c r="I62" s="62">
        <v>1012.8</v>
      </c>
      <c r="J62" s="62">
        <v>2</v>
      </c>
      <c r="K62" s="62">
        <v>31</v>
      </c>
      <c r="L62" s="62">
        <v>344.8</v>
      </c>
      <c r="M62" s="62">
        <v>26</v>
      </c>
      <c r="N62" s="137">
        <v>24</v>
      </c>
      <c r="O62" s="137">
        <v>46</v>
      </c>
      <c r="P62" s="3">
        <f>J62*$R$3</f>
        <v>1.028</v>
      </c>
      <c r="AL62" s="88" t="s">
        <v>357</v>
      </c>
      <c r="AM62" s="62">
        <v>76</v>
      </c>
      <c r="AN62" s="62">
        <v>74</v>
      </c>
      <c r="AO62" s="62">
        <v>79</v>
      </c>
      <c r="AP62" s="62">
        <v>77</v>
      </c>
      <c r="AQ62" s="62">
        <v>81</v>
      </c>
      <c r="AR62" s="62">
        <v>65</v>
      </c>
      <c r="AS62" s="150">
        <f t="shared" si="17"/>
        <v>75.333333333333329</v>
      </c>
    </row>
    <row r="63" spans="2:45" s="3" customFormat="1">
      <c r="B63" s="88" t="s">
        <v>349</v>
      </c>
      <c r="C63" s="65">
        <v>24.2</v>
      </c>
      <c r="D63" s="65">
        <v>32</v>
      </c>
      <c r="E63" s="65">
        <v>27</v>
      </c>
      <c r="F63" s="95" t="s">
        <v>25</v>
      </c>
      <c r="G63" s="95" t="s">
        <v>25</v>
      </c>
      <c r="H63" s="62">
        <v>83</v>
      </c>
      <c r="I63" s="62">
        <v>1013.1</v>
      </c>
      <c r="J63" s="62">
        <v>2</v>
      </c>
      <c r="K63" s="62">
        <v>38</v>
      </c>
      <c r="L63" s="62">
        <v>193</v>
      </c>
      <c r="M63" s="62">
        <v>19</v>
      </c>
      <c r="N63" s="137">
        <v>24</v>
      </c>
      <c r="O63" s="137">
        <v>42</v>
      </c>
      <c r="P63" s="3">
        <f t="shared" ref="P63:P73" si="19">J63*$R$3</f>
        <v>1.028</v>
      </c>
      <c r="AL63" s="88" t="s">
        <v>358</v>
      </c>
      <c r="AM63" s="62">
        <v>83</v>
      </c>
      <c r="AN63" s="62">
        <v>80</v>
      </c>
      <c r="AO63" s="62">
        <v>84</v>
      </c>
      <c r="AP63" s="62">
        <v>81</v>
      </c>
      <c r="AQ63" s="62">
        <v>82</v>
      </c>
      <c r="AR63" s="62">
        <v>85</v>
      </c>
      <c r="AS63" s="150">
        <f t="shared" si="17"/>
        <v>82.5</v>
      </c>
    </row>
    <row r="64" spans="2:45" s="3" customFormat="1">
      <c r="B64" s="88" t="s">
        <v>350</v>
      </c>
      <c r="C64" s="65">
        <v>24.6</v>
      </c>
      <c r="D64" s="65">
        <v>32.6</v>
      </c>
      <c r="E64" s="65">
        <v>27.5</v>
      </c>
      <c r="F64" s="95" t="s">
        <v>25</v>
      </c>
      <c r="G64" s="95" t="s">
        <v>25</v>
      </c>
      <c r="H64" s="62">
        <v>81</v>
      </c>
      <c r="I64" s="62">
        <v>1013.4</v>
      </c>
      <c r="J64" s="62">
        <v>3</v>
      </c>
      <c r="K64" s="62">
        <v>53</v>
      </c>
      <c r="L64" s="62">
        <v>197.8</v>
      </c>
      <c r="M64" s="62">
        <v>17</v>
      </c>
      <c r="N64" s="137">
        <v>24</v>
      </c>
      <c r="O64" s="137">
        <v>44</v>
      </c>
      <c r="P64" s="3">
        <f t="shared" si="19"/>
        <v>1.542</v>
      </c>
      <c r="AL64" s="88" t="s">
        <v>359</v>
      </c>
      <c r="AM64" s="62">
        <v>82</v>
      </c>
      <c r="AN64" s="62">
        <v>78</v>
      </c>
      <c r="AO64" s="62">
        <v>57</v>
      </c>
      <c r="AP64" s="62">
        <v>76</v>
      </c>
      <c r="AQ64" s="62">
        <v>80</v>
      </c>
      <c r="AR64" s="62">
        <v>76</v>
      </c>
      <c r="AS64" s="150">
        <f t="shared" si="17"/>
        <v>74.833333333333329</v>
      </c>
    </row>
    <row r="65" spans="2:42" s="3" customFormat="1">
      <c r="B65" s="88" t="s">
        <v>351</v>
      </c>
      <c r="C65" s="65">
        <v>24.5</v>
      </c>
      <c r="D65" s="65">
        <v>33.1</v>
      </c>
      <c r="E65" s="65">
        <v>27.8</v>
      </c>
      <c r="F65" s="95" t="s">
        <v>25</v>
      </c>
      <c r="G65" s="95" t="s">
        <v>25</v>
      </c>
      <c r="H65" s="62">
        <v>81</v>
      </c>
      <c r="I65" s="62">
        <v>1012.2</v>
      </c>
      <c r="J65" s="62">
        <v>4</v>
      </c>
      <c r="K65" s="62">
        <v>50</v>
      </c>
      <c r="L65" s="62">
        <v>343.7</v>
      </c>
      <c r="M65" s="62">
        <v>23</v>
      </c>
      <c r="N65" s="137">
        <v>24</v>
      </c>
      <c r="O65" s="137">
        <v>38</v>
      </c>
      <c r="P65" s="3">
        <f t="shared" si="19"/>
        <v>2.056</v>
      </c>
    </row>
    <row r="66" spans="2:42" s="3" customFormat="1" ht="15.75">
      <c r="B66" s="88" t="s">
        <v>352</v>
      </c>
      <c r="C66" s="65">
        <v>23.5</v>
      </c>
      <c r="D66" s="65">
        <v>34.799999999999997</v>
      </c>
      <c r="E66" s="65">
        <v>27.8</v>
      </c>
      <c r="F66" s="95" t="s">
        <v>25</v>
      </c>
      <c r="G66" s="95" t="s">
        <v>25</v>
      </c>
      <c r="H66" s="62">
        <v>84</v>
      </c>
      <c r="I66" s="62">
        <v>1012.7</v>
      </c>
      <c r="J66" s="62">
        <v>3</v>
      </c>
      <c r="K66" s="62">
        <v>47</v>
      </c>
      <c r="L66" s="62">
        <v>213.5</v>
      </c>
      <c r="M66" s="62">
        <v>20</v>
      </c>
      <c r="N66" s="137">
        <v>25</v>
      </c>
      <c r="O66" s="137">
        <v>33</v>
      </c>
      <c r="P66" s="3">
        <f t="shared" si="19"/>
        <v>1.542</v>
      </c>
      <c r="AM66" s="3" t="s">
        <v>340</v>
      </c>
      <c r="AN66" s="3" t="s">
        <v>898</v>
      </c>
      <c r="AO66" s="3" t="s">
        <v>899</v>
      </c>
      <c r="AP66" s="3" t="s">
        <v>900</v>
      </c>
    </row>
    <row r="67" spans="2:42" s="3" customFormat="1">
      <c r="B67" s="88" t="s">
        <v>353</v>
      </c>
      <c r="C67" s="65">
        <v>22.8</v>
      </c>
      <c r="D67" s="65">
        <v>34</v>
      </c>
      <c r="E67" s="65">
        <v>27.5</v>
      </c>
      <c r="F67" s="95" t="s">
        <v>25</v>
      </c>
      <c r="G67" s="95" t="s">
        <v>25</v>
      </c>
      <c r="H67" s="62">
        <v>83</v>
      </c>
      <c r="I67" s="62">
        <v>1012.4</v>
      </c>
      <c r="J67" s="62">
        <v>4</v>
      </c>
      <c r="K67" s="62">
        <v>36</v>
      </c>
      <c r="L67" s="62">
        <v>259.2</v>
      </c>
      <c r="M67" s="62">
        <v>23</v>
      </c>
      <c r="N67" s="137">
        <v>25</v>
      </c>
      <c r="O67" s="137">
        <v>41</v>
      </c>
      <c r="P67" s="3">
        <f t="shared" si="19"/>
        <v>2.056</v>
      </c>
      <c r="AL67" s="88" t="s">
        <v>348</v>
      </c>
      <c r="AM67" s="148">
        <v>80.666666666666671</v>
      </c>
      <c r="AN67" s="147">
        <v>32.383333333333333</v>
      </c>
      <c r="AO67" s="147">
        <v>24.299999999999997</v>
      </c>
      <c r="AP67" s="147">
        <v>27.566666666666663</v>
      </c>
    </row>
    <row r="68" spans="2:42" s="3" customFormat="1">
      <c r="B68" s="88" t="s">
        <v>354</v>
      </c>
      <c r="C68" s="65">
        <v>22.4</v>
      </c>
      <c r="D68" s="65">
        <v>33.9</v>
      </c>
      <c r="E68" s="65">
        <v>27.5</v>
      </c>
      <c r="F68" s="95" t="s">
        <v>25</v>
      </c>
      <c r="G68" s="95" t="s">
        <v>25</v>
      </c>
      <c r="H68" s="62">
        <v>80</v>
      </c>
      <c r="I68" s="62">
        <v>1013.1</v>
      </c>
      <c r="J68" s="62">
        <v>4</v>
      </c>
      <c r="K68" s="62">
        <v>52</v>
      </c>
      <c r="L68" s="62">
        <v>162.69999999999999</v>
      </c>
      <c r="M68" s="62">
        <v>11</v>
      </c>
      <c r="N68" s="137">
        <v>24</v>
      </c>
      <c r="O68" s="137">
        <v>24</v>
      </c>
      <c r="P68" s="3">
        <f t="shared" si="19"/>
        <v>2.056</v>
      </c>
      <c r="AL68" s="88" t="s">
        <v>349</v>
      </c>
      <c r="AM68" s="148">
        <v>79.166666666666671</v>
      </c>
      <c r="AN68" s="147">
        <v>33.033333333333331</v>
      </c>
      <c r="AO68" s="147">
        <v>24.5</v>
      </c>
      <c r="AP68" s="147">
        <v>27.933333333333334</v>
      </c>
    </row>
    <row r="69" spans="2:42" s="3" customFormat="1">
      <c r="B69" s="88" t="s">
        <v>355</v>
      </c>
      <c r="C69" s="65">
        <v>24</v>
      </c>
      <c r="D69" s="65">
        <v>35.200000000000003</v>
      </c>
      <c r="E69" s="65">
        <v>28</v>
      </c>
      <c r="F69" s="95" t="s">
        <v>25</v>
      </c>
      <c r="G69" s="95" t="s">
        <v>25</v>
      </c>
      <c r="H69" s="62">
        <v>76</v>
      </c>
      <c r="I69" s="62">
        <v>1013.1</v>
      </c>
      <c r="J69" s="62">
        <v>5</v>
      </c>
      <c r="K69" s="62">
        <v>61</v>
      </c>
      <c r="L69" s="62">
        <v>57.6</v>
      </c>
      <c r="M69" s="62">
        <v>7</v>
      </c>
      <c r="N69" s="137">
        <v>23</v>
      </c>
      <c r="O69" s="137">
        <v>23</v>
      </c>
      <c r="P69" s="3">
        <f t="shared" si="19"/>
        <v>2.5700000000000003</v>
      </c>
      <c r="AL69" s="88" t="s">
        <v>350</v>
      </c>
      <c r="AM69" s="148">
        <v>79.833333333333329</v>
      </c>
      <c r="AN69" s="147">
        <v>33.166666666666664</v>
      </c>
      <c r="AO69" s="147">
        <v>24.75</v>
      </c>
      <c r="AP69" s="147">
        <v>27.983333333333334</v>
      </c>
    </row>
    <row r="70" spans="2:42" s="3" customFormat="1">
      <c r="B70" s="88" t="s">
        <v>356</v>
      </c>
      <c r="C70" s="65">
        <v>22.2</v>
      </c>
      <c r="D70" s="65">
        <v>35.200000000000003</v>
      </c>
      <c r="E70" s="65">
        <v>28.5</v>
      </c>
      <c r="F70" s="95" t="s">
        <v>25</v>
      </c>
      <c r="G70" s="95" t="s">
        <v>25</v>
      </c>
      <c r="H70" s="62">
        <v>75</v>
      </c>
      <c r="I70" s="62">
        <v>1013.4</v>
      </c>
      <c r="J70" s="62">
        <v>5</v>
      </c>
      <c r="K70" s="62">
        <v>36</v>
      </c>
      <c r="L70" s="62">
        <v>0</v>
      </c>
      <c r="M70" s="62">
        <v>1</v>
      </c>
      <c r="N70" s="137">
        <v>24</v>
      </c>
      <c r="O70" s="137">
        <v>25</v>
      </c>
      <c r="P70" s="3">
        <f t="shared" si="19"/>
        <v>2.5700000000000003</v>
      </c>
      <c r="AL70" s="88" t="s">
        <v>351</v>
      </c>
      <c r="AM70" s="148">
        <v>80.833333333333329</v>
      </c>
      <c r="AN70" s="147">
        <v>33.116666666666667</v>
      </c>
      <c r="AO70" s="147">
        <v>24.883333333333329</v>
      </c>
      <c r="AP70" s="147">
        <v>28.133333333333336</v>
      </c>
    </row>
    <row r="71" spans="2:42" s="3" customFormat="1">
      <c r="B71" s="88" t="s">
        <v>357</v>
      </c>
      <c r="C71" s="65">
        <v>23.2</v>
      </c>
      <c r="D71" s="65">
        <v>36</v>
      </c>
      <c r="E71" s="65">
        <v>28.9</v>
      </c>
      <c r="F71" s="95" t="s">
        <v>25</v>
      </c>
      <c r="G71" s="95" t="s">
        <v>25</v>
      </c>
      <c r="H71" s="62">
        <v>74</v>
      </c>
      <c r="I71" s="62">
        <v>1013.8</v>
      </c>
      <c r="J71" s="62">
        <v>5.0999999999999996</v>
      </c>
      <c r="K71" s="62">
        <v>51</v>
      </c>
      <c r="L71" s="62">
        <v>73.2</v>
      </c>
      <c r="M71" s="62">
        <v>8</v>
      </c>
      <c r="N71" s="137">
        <v>23</v>
      </c>
      <c r="O71" s="137">
        <v>21</v>
      </c>
      <c r="P71" s="3">
        <f t="shared" si="19"/>
        <v>2.6214</v>
      </c>
      <c r="AL71" s="88" t="s">
        <v>352</v>
      </c>
      <c r="AM71" s="148">
        <v>83.666666666666671</v>
      </c>
      <c r="AN71" s="147">
        <v>33.283333333333331</v>
      </c>
      <c r="AO71" s="147">
        <v>24.700000000000003</v>
      </c>
      <c r="AP71" s="147">
        <v>28.000000000000004</v>
      </c>
    </row>
    <row r="72" spans="2:42" s="3" customFormat="1">
      <c r="B72" s="88" t="s">
        <v>358</v>
      </c>
      <c r="C72" s="65">
        <v>23.4</v>
      </c>
      <c r="D72" s="65">
        <v>35</v>
      </c>
      <c r="E72" s="65">
        <v>28.4</v>
      </c>
      <c r="F72" s="95" t="s">
        <v>25</v>
      </c>
      <c r="G72" s="95" t="s">
        <v>25</v>
      </c>
      <c r="H72" s="62">
        <v>80</v>
      </c>
      <c r="I72" s="62">
        <v>1012</v>
      </c>
      <c r="J72" s="62">
        <v>3.8</v>
      </c>
      <c r="K72" s="62">
        <v>49</v>
      </c>
      <c r="L72" s="62">
        <v>60.9</v>
      </c>
      <c r="M72" s="62">
        <v>19</v>
      </c>
      <c r="N72" s="137">
        <v>24</v>
      </c>
      <c r="O72" s="137">
        <v>31</v>
      </c>
      <c r="P72" s="3">
        <f t="shared" si="19"/>
        <v>1.9532</v>
      </c>
      <c r="AL72" s="88" t="s">
        <v>353</v>
      </c>
      <c r="AM72" s="148">
        <v>83.333333333333329</v>
      </c>
      <c r="AN72" s="147">
        <v>32.550000000000004</v>
      </c>
      <c r="AO72" s="147">
        <v>24.150000000000002</v>
      </c>
      <c r="AP72" s="147">
        <v>27.566666666666663</v>
      </c>
    </row>
    <row r="73" spans="2:42" s="3" customFormat="1">
      <c r="B73" s="88" t="s">
        <v>359</v>
      </c>
      <c r="C73" s="65">
        <v>23.6</v>
      </c>
      <c r="D73" s="65">
        <v>35.6</v>
      </c>
      <c r="E73" s="65">
        <v>28.6</v>
      </c>
      <c r="F73" s="95" t="s">
        <v>25</v>
      </c>
      <c r="G73" s="95" t="s">
        <v>25</v>
      </c>
      <c r="H73" s="62">
        <v>78</v>
      </c>
      <c r="I73" s="62">
        <v>1012.7</v>
      </c>
      <c r="J73" s="62">
        <v>4.5999999999999996</v>
      </c>
      <c r="K73" s="62">
        <v>58</v>
      </c>
      <c r="L73" s="62">
        <v>191.4</v>
      </c>
      <c r="M73" s="62">
        <v>16</v>
      </c>
      <c r="N73" s="137">
        <v>25</v>
      </c>
      <c r="O73" s="137">
        <v>37</v>
      </c>
      <c r="P73" s="3">
        <f t="shared" si="19"/>
        <v>2.3643999999999998</v>
      </c>
      <c r="AL73" s="88" t="s">
        <v>354</v>
      </c>
      <c r="AM73" s="148">
        <v>78</v>
      </c>
      <c r="AN73" s="147">
        <v>32.716666666666669</v>
      </c>
      <c r="AO73" s="147">
        <v>23.75</v>
      </c>
      <c r="AP73" s="147">
        <v>27.733333333333331</v>
      </c>
    </row>
    <row r="74" spans="2:42" s="3" customFormat="1">
      <c r="B74" s="85" t="s">
        <v>360</v>
      </c>
      <c r="C74" s="92">
        <f t="shared" ref="C74:M74" si="20">AVERAGE(C62:C73)</f>
        <v>23.525000000000002</v>
      </c>
      <c r="D74" s="92">
        <f t="shared" si="20"/>
        <v>34.091666666666669</v>
      </c>
      <c r="E74" s="92">
        <f t="shared" si="20"/>
        <v>27.866666666666664</v>
      </c>
      <c r="F74" s="92" t="e">
        <f t="shared" si="20"/>
        <v>#DIV/0!</v>
      </c>
      <c r="G74" s="92" t="e">
        <f t="shared" si="20"/>
        <v>#DIV/0!</v>
      </c>
      <c r="H74" s="92">
        <f t="shared" si="20"/>
        <v>79.833333333333329</v>
      </c>
      <c r="I74" s="92">
        <f t="shared" si="20"/>
        <v>1012.8916666666668</v>
      </c>
      <c r="J74" s="92">
        <f t="shared" si="20"/>
        <v>3.7916666666666665</v>
      </c>
      <c r="K74" s="92">
        <f t="shared" si="20"/>
        <v>46.833333333333336</v>
      </c>
      <c r="L74" s="92">
        <f t="shared" si="20"/>
        <v>174.81666666666669</v>
      </c>
      <c r="M74" s="92">
        <f t="shared" si="20"/>
        <v>15.833333333333334</v>
      </c>
      <c r="N74" s="2"/>
      <c r="O74" s="2"/>
      <c r="AL74" s="88" t="s">
        <v>355</v>
      </c>
      <c r="AM74" s="148">
        <v>76.5</v>
      </c>
      <c r="AN74" s="147">
        <v>33.083333333333336</v>
      </c>
      <c r="AO74" s="147">
        <v>24.233333333333334</v>
      </c>
      <c r="AP74" s="147">
        <v>27.683333333333334</v>
      </c>
    </row>
    <row r="75" spans="2:42" s="3" customFormat="1">
      <c r="B75" s="91">
        <v>2014</v>
      </c>
      <c r="C75" s="254"/>
      <c r="D75" s="255"/>
      <c r="E75" s="255"/>
      <c r="F75" s="255"/>
      <c r="G75" s="255"/>
      <c r="H75" s="255"/>
      <c r="I75" s="255"/>
      <c r="J75" s="255"/>
      <c r="K75" s="255"/>
      <c r="L75" s="255"/>
      <c r="M75" s="255"/>
      <c r="N75" s="255"/>
      <c r="O75" s="256"/>
      <c r="AL75" s="88" t="s">
        <v>356</v>
      </c>
      <c r="AM75" s="148">
        <v>75.166666666666671</v>
      </c>
      <c r="AN75" s="147">
        <v>33.483333333333327</v>
      </c>
      <c r="AO75" s="147">
        <v>24.233333333333334</v>
      </c>
      <c r="AP75" s="147">
        <v>28.033333333333331</v>
      </c>
    </row>
    <row r="76" spans="2:42" s="3" customFormat="1">
      <c r="B76" s="88" t="s">
        <v>348</v>
      </c>
      <c r="C76" s="62">
        <v>24</v>
      </c>
      <c r="D76" s="62">
        <v>31.8</v>
      </c>
      <c r="E76" s="62">
        <v>27.1</v>
      </c>
      <c r="F76" s="95" t="s">
        <v>25</v>
      </c>
      <c r="G76" s="95" t="s">
        <v>25</v>
      </c>
      <c r="H76" s="62">
        <v>82</v>
      </c>
      <c r="I76" s="95" t="s">
        <v>25</v>
      </c>
      <c r="J76" s="95" t="s">
        <v>25</v>
      </c>
      <c r="K76" s="62">
        <v>33.4</v>
      </c>
      <c r="L76" s="62">
        <v>273.10000000000002</v>
      </c>
      <c r="M76" s="62">
        <v>21</v>
      </c>
      <c r="N76" s="137">
        <v>24</v>
      </c>
      <c r="O76" s="137">
        <v>49</v>
      </c>
      <c r="AL76" s="88" t="s">
        <v>357</v>
      </c>
      <c r="AM76" s="148">
        <v>75.333333333333329</v>
      </c>
      <c r="AN76" s="147">
        <v>33.716666666666661</v>
      </c>
      <c r="AO76" s="147">
        <v>24.566666666666666</v>
      </c>
      <c r="AP76" s="147">
        <v>28.183333333333334</v>
      </c>
    </row>
    <row r="77" spans="2:42" s="3" customFormat="1">
      <c r="B77" s="88" t="s">
        <v>349</v>
      </c>
      <c r="C77" s="62">
        <v>24.2</v>
      </c>
      <c r="D77" s="62">
        <v>33.200000000000003</v>
      </c>
      <c r="E77" s="62">
        <v>27.7</v>
      </c>
      <c r="F77" s="95" t="s">
        <v>25</v>
      </c>
      <c r="G77" s="95" t="s">
        <v>25</v>
      </c>
      <c r="H77" s="62">
        <v>79</v>
      </c>
      <c r="I77" s="95" t="s">
        <v>25</v>
      </c>
      <c r="J77" s="95" t="s">
        <v>25</v>
      </c>
      <c r="K77" s="62">
        <v>53.2</v>
      </c>
      <c r="L77" s="62">
        <v>197.1</v>
      </c>
      <c r="M77" s="62">
        <v>10</v>
      </c>
      <c r="N77" s="137">
        <v>24</v>
      </c>
      <c r="O77" s="137">
        <v>38</v>
      </c>
      <c r="AL77" s="88" t="s">
        <v>358</v>
      </c>
      <c r="AM77" s="148">
        <v>82.5</v>
      </c>
      <c r="AN77" s="147">
        <v>33.016666666666673</v>
      </c>
      <c r="AO77" s="147">
        <v>24.633333333333329</v>
      </c>
      <c r="AP77" s="147">
        <v>27.983333333333334</v>
      </c>
    </row>
    <row r="78" spans="2:42" s="3" customFormat="1">
      <c r="B78" s="88" t="s">
        <v>350</v>
      </c>
      <c r="C78" s="62">
        <v>24.7</v>
      </c>
      <c r="D78" s="62">
        <v>33.200000000000003</v>
      </c>
      <c r="E78" s="62">
        <v>27.7</v>
      </c>
      <c r="F78" s="95" t="s">
        <v>25</v>
      </c>
      <c r="G78" s="95" t="s">
        <v>25</v>
      </c>
      <c r="H78" s="62">
        <v>82</v>
      </c>
      <c r="I78" s="95" t="s">
        <v>25</v>
      </c>
      <c r="J78" s="95" t="s">
        <v>25</v>
      </c>
      <c r="K78" s="62">
        <v>46.1</v>
      </c>
      <c r="L78" s="62">
        <v>318.7</v>
      </c>
      <c r="M78" s="62">
        <v>16</v>
      </c>
      <c r="N78" s="137">
        <v>25</v>
      </c>
      <c r="O78" s="137">
        <v>40</v>
      </c>
      <c r="AL78" s="88" t="s">
        <v>359</v>
      </c>
      <c r="AM78" s="148">
        <v>74.833333333333329</v>
      </c>
      <c r="AN78" s="147">
        <v>33.133333333333333</v>
      </c>
      <c r="AO78" s="147">
        <v>24.266666666666666</v>
      </c>
      <c r="AP78" s="147">
        <v>27.933333333333334</v>
      </c>
    </row>
    <row r="79" spans="2:42" s="3" customFormat="1">
      <c r="B79" s="88" t="s">
        <v>351</v>
      </c>
      <c r="C79" s="62">
        <v>24.7</v>
      </c>
      <c r="D79" s="62">
        <v>32.9</v>
      </c>
      <c r="E79" s="62">
        <v>27.9</v>
      </c>
      <c r="F79" s="95" t="s">
        <v>25</v>
      </c>
      <c r="G79" s="95" t="s">
        <v>25</v>
      </c>
      <c r="H79" s="62">
        <v>82</v>
      </c>
      <c r="I79" s="95" t="s">
        <v>25</v>
      </c>
      <c r="J79" s="95" t="s">
        <v>25</v>
      </c>
      <c r="K79" s="62">
        <v>41.8</v>
      </c>
      <c r="L79" s="62">
        <v>126.1</v>
      </c>
      <c r="M79" s="62">
        <v>19</v>
      </c>
      <c r="N79" s="137">
        <v>25</v>
      </c>
      <c r="O79" s="137">
        <v>36</v>
      </c>
    </row>
    <row r="80" spans="2:42" s="3" customFormat="1">
      <c r="B80" s="88" t="s">
        <v>352</v>
      </c>
      <c r="C80" s="62">
        <v>24.6</v>
      </c>
      <c r="D80" s="62">
        <v>32.700000000000003</v>
      </c>
      <c r="E80" s="62">
        <v>27.7</v>
      </c>
      <c r="F80" s="95" t="s">
        <v>25</v>
      </c>
      <c r="G80" s="95" t="s">
        <v>25</v>
      </c>
      <c r="H80" s="62">
        <v>84</v>
      </c>
      <c r="I80" s="95" t="s">
        <v>25</v>
      </c>
      <c r="J80" s="95" t="s">
        <v>25</v>
      </c>
      <c r="K80" s="62">
        <v>39.6</v>
      </c>
      <c r="L80" s="62">
        <v>189.7</v>
      </c>
      <c r="M80" s="62">
        <v>21</v>
      </c>
      <c r="N80" s="137">
        <v>25</v>
      </c>
      <c r="O80" s="137">
        <v>34</v>
      </c>
    </row>
    <row r="81" spans="2:15" s="3" customFormat="1">
      <c r="B81" s="88" t="s">
        <v>353</v>
      </c>
      <c r="C81" s="62">
        <v>24.8</v>
      </c>
      <c r="D81" s="62">
        <v>32</v>
      </c>
      <c r="E81" s="62">
        <v>27.5</v>
      </c>
      <c r="F81" s="95" t="s">
        <v>25</v>
      </c>
      <c r="G81" s="95" t="s">
        <v>25</v>
      </c>
      <c r="H81" s="62">
        <v>84</v>
      </c>
      <c r="I81" s="95" t="s">
        <v>25</v>
      </c>
      <c r="J81" s="95" t="s">
        <v>25</v>
      </c>
      <c r="K81" s="62">
        <v>27.6</v>
      </c>
      <c r="L81" s="62">
        <v>210.5</v>
      </c>
      <c r="M81" s="62">
        <v>19</v>
      </c>
      <c r="N81" s="137">
        <v>25</v>
      </c>
      <c r="O81" s="137">
        <v>39</v>
      </c>
    </row>
    <row r="82" spans="2:15" s="3" customFormat="1">
      <c r="B82" s="88" t="s">
        <v>354</v>
      </c>
      <c r="C82" s="62">
        <v>24.9</v>
      </c>
      <c r="D82" s="62">
        <v>32.6</v>
      </c>
      <c r="E82" s="62">
        <v>27.8</v>
      </c>
      <c r="F82" s="95" t="s">
        <v>25</v>
      </c>
      <c r="G82" s="95" t="s">
        <v>25</v>
      </c>
      <c r="H82" s="62">
        <v>81</v>
      </c>
      <c r="I82" s="95" t="s">
        <v>25</v>
      </c>
      <c r="J82" s="95" t="s">
        <v>25</v>
      </c>
      <c r="K82" s="62">
        <v>54.2</v>
      </c>
      <c r="L82" s="62">
        <v>49.5</v>
      </c>
      <c r="M82" s="62">
        <v>15</v>
      </c>
      <c r="N82" s="137">
        <v>25</v>
      </c>
      <c r="O82" s="137">
        <v>31</v>
      </c>
    </row>
    <row r="83" spans="2:15" s="3" customFormat="1">
      <c r="B83" s="88" t="s">
        <v>355</v>
      </c>
      <c r="C83" s="62">
        <v>24.2</v>
      </c>
      <c r="D83" s="62">
        <v>31.6</v>
      </c>
      <c r="E83" s="62">
        <v>27.1</v>
      </c>
      <c r="F83" s="95" t="s">
        <v>25</v>
      </c>
      <c r="G83" s="95" t="s">
        <v>25</v>
      </c>
      <c r="H83" s="62">
        <v>83</v>
      </c>
      <c r="I83" s="95" t="s">
        <v>25</v>
      </c>
      <c r="J83" s="95" t="s">
        <v>25</v>
      </c>
      <c r="K83" s="62">
        <v>32.299999999999997</v>
      </c>
      <c r="L83" s="62">
        <v>81.3</v>
      </c>
      <c r="M83" s="62">
        <v>24</v>
      </c>
      <c r="N83" s="137">
        <v>24</v>
      </c>
      <c r="O83" s="137">
        <v>32</v>
      </c>
    </row>
    <row r="84" spans="2:15" s="3" customFormat="1">
      <c r="B84" s="88" t="s">
        <v>356</v>
      </c>
      <c r="C84" s="62">
        <v>24.5</v>
      </c>
      <c r="D84" s="62">
        <v>33.299999999999997</v>
      </c>
      <c r="E84" s="62">
        <v>27.9</v>
      </c>
      <c r="F84" s="95" t="s">
        <v>25</v>
      </c>
      <c r="G84" s="95" t="s">
        <v>25</v>
      </c>
      <c r="H84" s="62">
        <v>79</v>
      </c>
      <c r="I84" s="95" t="s">
        <v>25</v>
      </c>
      <c r="J84" s="95" t="s">
        <v>25</v>
      </c>
      <c r="K84" s="62">
        <v>43.3</v>
      </c>
      <c r="L84" s="62">
        <v>81.599999999999994</v>
      </c>
      <c r="M84" s="62">
        <v>12</v>
      </c>
      <c r="N84" s="137">
        <v>24</v>
      </c>
      <c r="O84" s="137">
        <v>28</v>
      </c>
    </row>
    <row r="85" spans="2:15" s="3" customFormat="1">
      <c r="B85" s="88" t="s">
        <v>357</v>
      </c>
      <c r="C85" s="62">
        <v>24.8</v>
      </c>
      <c r="D85" s="62">
        <v>34</v>
      </c>
      <c r="E85" s="62">
        <v>28.5</v>
      </c>
      <c r="F85" s="95" t="s">
        <v>25</v>
      </c>
      <c r="G85" s="95" t="s">
        <v>25</v>
      </c>
      <c r="H85" s="62">
        <v>76</v>
      </c>
      <c r="I85" s="95" t="s">
        <v>25</v>
      </c>
      <c r="J85" s="95" t="s">
        <v>25</v>
      </c>
      <c r="K85" s="62">
        <v>50.2</v>
      </c>
      <c r="L85" s="62">
        <v>111.3</v>
      </c>
      <c r="M85" s="62">
        <v>7</v>
      </c>
      <c r="N85" s="137">
        <v>24</v>
      </c>
      <c r="O85" s="137">
        <v>23</v>
      </c>
    </row>
    <row r="86" spans="2:15" s="3" customFormat="1">
      <c r="B86" s="88" t="s">
        <v>358</v>
      </c>
      <c r="C86" s="62">
        <v>24.7</v>
      </c>
      <c r="D86" s="62">
        <v>32.700000000000003</v>
      </c>
      <c r="E86" s="62">
        <v>27.7</v>
      </c>
      <c r="F86" s="95" t="s">
        <v>25</v>
      </c>
      <c r="G86" s="95" t="s">
        <v>25</v>
      </c>
      <c r="H86" s="62">
        <v>83</v>
      </c>
      <c r="I86" s="95" t="s">
        <v>25</v>
      </c>
      <c r="J86" s="95" t="s">
        <v>25</v>
      </c>
      <c r="K86" s="62">
        <v>34.700000000000003</v>
      </c>
      <c r="L86" s="62">
        <v>300</v>
      </c>
      <c r="M86" s="62">
        <v>23</v>
      </c>
      <c r="N86" s="137">
        <v>25</v>
      </c>
      <c r="O86" s="137">
        <v>33</v>
      </c>
    </row>
    <row r="87" spans="2:15" s="3" customFormat="1">
      <c r="B87" s="88" t="s">
        <v>359</v>
      </c>
      <c r="C87" s="62">
        <v>24.4</v>
      </c>
      <c r="D87" s="62">
        <v>32.5</v>
      </c>
      <c r="E87" s="62">
        <v>27.5</v>
      </c>
      <c r="F87" s="95" t="s">
        <v>25</v>
      </c>
      <c r="G87" s="95" t="s">
        <v>25</v>
      </c>
      <c r="H87" s="62">
        <v>82</v>
      </c>
      <c r="I87" s="95" t="s">
        <v>25</v>
      </c>
      <c r="J87" s="95" t="s">
        <v>25</v>
      </c>
      <c r="K87" s="62">
        <v>42.6</v>
      </c>
      <c r="L87" s="62">
        <v>448.6</v>
      </c>
      <c r="M87" s="62">
        <v>25</v>
      </c>
      <c r="N87" s="137">
        <v>25</v>
      </c>
      <c r="O87" s="137">
        <v>48</v>
      </c>
    </row>
    <row r="88" spans="2:15" s="3" customFormat="1">
      <c r="B88" s="85" t="s">
        <v>360</v>
      </c>
      <c r="C88" s="92">
        <f t="shared" ref="C88:M88" si="21">AVERAGE(C76:C87)</f>
        <v>24.541666666666668</v>
      </c>
      <c r="D88" s="92">
        <f t="shared" si="21"/>
        <v>32.708333333333336</v>
      </c>
      <c r="E88" s="92">
        <f t="shared" si="21"/>
        <v>27.674999999999997</v>
      </c>
      <c r="F88" s="92" t="e">
        <f t="shared" si="21"/>
        <v>#DIV/0!</v>
      </c>
      <c r="G88" s="92" t="e">
        <f t="shared" si="21"/>
        <v>#DIV/0!</v>
      </c>
      <c r="H88" s="92">
        <f t="shared" si="21"/>
        <v>81.416666666666671</v>
      </c>
      <c r="I88" s="92" t="e">
        <f t="shared" si="21"/>
        <v>#DIV/0!</v>
      </c>
      <c r="J88" s="92" t="e">
        <f t="shared" si="21"/>
        <v>#DIV/0!</v>
      </c>
      <c r="K88" s="92">
        <f t="shared" si="21"/>
        <v>41.583333333333336</v>
      </c>
      <c r="L88" s="92">
        <f t="shared" si="21"/>
        <v>198.95833333333334</v>
      </c>
      <c r="M88" s="92">
        <f t="shared" si="21"/>
        <v>17.666666666666668</v>
      </c>
      <c r="N88" s="2"/>
      <c r="O88" s="2"/>
    </row>
    <row r="89" spans="2:15">
      <c r="B89" s="70">
        <v>2013</v>
      </c>
      <c r="C89" s="62">
        <v>24.6</v>
      </c>
      <c r="D89" s="62">
        <v>32.200000000000003</v>
      </c>
      <c r="E89" s="62">
        <v>27.4</v>
      </c>
      <c r="F89" s="95" t="s">
        <v>25</v>
      </c>
      <c r="G89" s="95" t="s">
        <v>25</v>
      </c>
      <c r="H89" s="62">
        <v>83</v>
      </c>
      <c r="I89" s="95" t="s">
        <v>25</v>
      </c>
      <c r="J89" s="95" t="s">
        <v>25</v>
      </c>
      <c r="K89" s="62">
        <v>42</v>
      </c>
      <c r="L89" s="62">
        <v>201.7</v>
      </c>
      <c r="M89" s="62">
        <v>19</v>
      </c>
      <c r="N89" s="137">
        <v>24</v>
      </c>
      <c r="O89" s="2"/>
    </row>
    <row r="90" spans="2:15" s="3" customFormat="1">
      <c r="B90" s="70">
        <v>2012</v>
      </c>
      <c r="C90" s="62">
        <v>24.6</v>
      </c>
      <c r="D90" s="62">
        <v>32.9</v>
      </c>
      <c r="E90" s="62">
        <v>28</v>
      </c>
      <c r="F90" s="95" t="s">
        <v>25</v>
      </c>
      <c r="G90" s="95" t="s">
        <v>25</v>
      </c>
      <c r="H90" s="62">
        <v>81</v>
      </c>
      <c r="I90" s="95" t="s">
        <v>25</v>
      </c>
      <c r="J90" s="95" t="s">
        <v>25</v>
      </c>
      <c r="K90" s="62">
        <v>39</v>
      </c>
      <c r="L90" s="62">
        <v>249.2</v>
      </c>
      <c r="M90" s="62">
        <v>20</v>
      </c>
      <c r="N90" s="137">
        <v>24</v>
      </c>
      <c r="O90" s="2"/>
    </row>
    <row r="91" spans="2:15" s="3" customFormat="1">
      <c r="B91" s="70">
        <v>2011</v>
      </c>
      <c r="C91" s="62">
        <v>23.8</v>
      </c>
      <c r="D91" s="62">
        <v>33.200000000000003</v>
      </c>
      <c r="E91" s="62">
        <v>27.8</v>
      </c>
      <c r="F91" s="95" t="s">
        <v>25</v>
      </c>
      <c r="G91" s="95" t="s">
        <v>25</v>
      </c>
      <c r="H91" s="62">
        <v>82</v>
      </c>
      <c r="I91" s="95" t="s">
        <v>25</v>
      </c>
      <c r="J91" s="95" t="s">
        <v>25</v>
      </c>
      <c r="K91" s="62">
        <v>42</v>
      </c>
      <c r="L91" s="62">
        <v>203.7</v>
      </c>
      <c r="M91" s="62">
        <v>22</v>
      </c>
      <c r="N91" s="137">
        <v>25</v>
      </c>
      <c r="O91" s="2"/>
    </row>
    <row r="92" spans="2:15">
      <c r="B92" s="70">
        <v>2010</v>
      </c>
      <c r="C92" s="62">
        <v>24.5</v>
      </c>
      <c r="D92" s="62">
        <v>33.200000000000003</v>
      </c>
      <c r="E92" s="62">
        <v>27.7</v>
      </c>
      <c r="F92" s="95" t="s">
        <v>25</v>
      </c>
      <c r="G92" s="95" t="s">
        <v>25</v>
      </c>
      <c r="H92" s="62">
        <v>83</v>
      </c>
      <c r="I92" s="95" t="s">
        <v>25</v>
      </c>
      <c r="J92" s="95" t="s">
        <v>25</v>
      </c>
      <c r="K92" s="62">
        <v>39</v>
      </c>
      <c r="L92" s="62">
        <v>162.69999999999999</v>
      </c>
      <c r="M92" s="62">
        <v>16</v>
      </c>
      <c r="N92" s="137">
        <v>25</v>
      </c>
      <c r="O92" s="2"/>
    </row>
    <row r="94" spans="2:15" ht="15.75">
      <c r="B94" t="s">
        <v>368</v>
      </c>
    </row>
    <row r="95" spans="2:15">
      <c r="B95" s="248" t="s">
        <v>362</v>
      </c>
      <c r="C95" s="249"/>
      <c r="D95" s="213" t="s">
        <v>334</v>
      </c>
      <c r="E95" s="214"/>
      <c r="F95" s="214"/>
      <c r="G95" s="214"/>
      <c r="H95" s="214"/>
      <c r="I95" s="214"/>
      <c r="J95" s="214"/>
      <c r="K95" s="214"/>
      <c r="L95" s="214"/>
      <c r="M95" s="214"/>
      <c r="N95" s="214"/>
      <c r="O95" s="215"/>
    </row>
    <row r="96" spans="2:15">
      <c r="B96" s="250"/>
      <c r="C96" s="251"/>
      <c r="D96" s="85">
        <v>1</v>
      </c>
      <c r="E96" s="85">
        <v>2</v>
      </c>
      <c r="F96" s="85">
        <v>3</v>
      </c>
      <c r="G96" s="85">
        <v>4</v>
      </c>
      <c r="H96" s="85">
        <v>5</v>
      </c>
      <c r="I96" s="85">
        <v>6</v>
      </c>
      <c r="J96" s="85">
        <v>7</v>
      </c>
      <c r="K96" s="85">
        <v>8</v>
      </c>
      <c r="L96" s="85">
        <v>9</v>
      </c>
      <c r="M96" s="85">
        <v>10</v>
      </c>
      <c r="N96" s="85">
        <v>11</v>
      </c>
      <c r="O96" s="85">
        <v>12</v>
      </c>
    </row>
    <row r="97" spans="2:23">
      <c r="B97" s="252" t="s">
        <v>363</v>
      </c>
      <c r="C97" s="253"/>
      <c r="D97" s="2">
        <v>194</v>
      </c>
      <c r="E97" s="2">
        <v>123</v>
      </c>
      <c r="F97" s="2">
        <v>233</v>
      </c>
      <c r="G97" s="2">
        <v>333</v>
      </c>
      <c r="H97" s="2">
        <v>183</v>
      </c>
      <c r="I97" s="2">
        <v>113</v>
      </c>
      <c r="J97" s="2">
        <v>178</v>
      </c>
      <c r="K97" s="2">
        <v>121</v>
      </c>
      <c r="L97" s="2">
        <v>104</v>
      </c>
      <c r="M97" s="2">
        <v>134</v>
      </c>
      <c r="N97" s="2">
        <v>198</v>
      </c>
      <c r="O97" s="2">
        <v>214</v>
      </c>
      <c r="P97" s="104">
        <f>AVERAGE(D97:O97)</f>
        <v>177.33333333333334</v>
      </c>
    </row>
    <row r="98" spans="2:23">
      <c r="B98" s="252" t="s">
        <v>364</v>
      </c>
      <c r="C98" s="253"/>
      <c r="D98" s="2">
        <v>12</v>
      </c>
      <c r="E98" s="2">
        <v>11</v>
      </c>
      <c r="F98" s="2">
        <v>12</v>
      </c>
      <c r="G98" s="2">
        <v>14</v>
      </c>
      <c r="H98" s="2">
        <v>12</v>
      </c>
      <c r="I98" s="2">
        <v>11</v>
      </c>
      <c r="J98" s="2">
        <v>9</v>
      </c>
      <c r="K98" s="2">
        <v>10</v>
      </c>
      <c r="L98" s="2">
        <v>9</v>
      </c>
      <c r="M98" s="2">
        <v>11</v>
      </c>
      <c r="N98" s="2">
        <v>11</v>
      </c>
      <c r="O98" s="2">
        <v>12</v>
      </c>
    </row>
    <row r="99" spans="2:23" ht="15.75">
      <c r="B99" s="252" t="s">
        <v>336</v>
      </c>
      <c r="C99" s="253"/>
      <c r="D99" s="2">
        <v>26.8</v>
      </c>
      <c r="E99" s="2">
        <v>26.7</v>
      </c>
      <c r="F99" s="2">
        <v>27</v>
      </c>
      <c r="G99" s="2">
        <v>27.2</v>
      </c>
      <c r="H99" s="2">
        <v>27</v>
      </c>
      <c r="I99" s="2">
        <v>26.6</v>
      </c>
      <c r="J99" s="2">
        <v>26.2</v>
      </c>
      <c r="K99" s="2">
        <v>26.5</v>
      </c>
      <c r="L99" s="2">
        <v>26.6</v>
      </c>
      <c r="M99" s="2">
        <v>26.9</v>
      </c>
      <c r="N99" s="2">
        <v>26.9</v>
      </c>
      <c r="O99" s="2">
        <v>26.9</v>
      </c>
    </row>
    <row r="100" spans="2:23">
      <c r="B100" s="252" t="s">
        <v>365</v>
      </c>
      <c r="C100" s="253"/>
      <c r="D100" s="2">
        <v>87.2</v>
      </c>
      <c r="E100" s="2">
        <v>86.3</v>
      </c>
      <c r="F100" s="2">
        <v>89.2</v>
      </c>
      <c r="G100" s="2">
        <v>90.2</v>
      </c>
      <c r="H100" s="2">
        <v>88.6</v>
      </c>
      <c r="I100" s="2">
        <v>86.5</v>
      </c>
      <c r="J100" s="2">
        <v>85.6</v>
      </c>
      <c r="K100" s="2">
        <v>86.2</v>
      </c>
      <c r="L100" s="2">
        <v>83.4</v>
      </c>
      <c r="M100" s="2">
        <v>85.9</v>
      </c>
      <c r="N100" s="2">
        <v>87.1</v>
      </c>
      <c r="O100" s="2">
        <v>86.3</v>
      </c>
    </row>
    <row r="101" spans="2:23" s="3" customFormat="1" ht="15.75">
      <c r="B101" s="252" t="s">
        <v>826</v>
      </c>
      <c r="C101" s="253"/>
      <c r="D101" s="2">
        <v>25</v>
      </c>
      <c r="E101" s="2">
        <v>24</v>
      </c>
      <c r="F101" s="2">
        <v>25</v>
      </c>
      <c r="G101" s="2">
        <v>25</v>
      </c>
      <c r="H101" s="2">
        <v>25</v>
      </c>
      <c r="I101" s="2">
        <v>25</v>
      </c>
      <c r="J101" s="2">
        <v>24</v>
      </c>
      <c r="K101" s="2">
        <v>24</v>
      </c>
      <c r="L101" s="2">
        <v>24</v>
      </c>
      <c r="M101" s="2">
        <v>24</v>
      </c>
      <c r="N101" s="2">
        <v>25</v>
      </c>
      <c r="O101" s="2">
        <v>24</v>
      </c>
    </row>
    <row r="102" spans="2:23" ht="15.75">
      <c r="B102" s="252" t="s">
        <v>366</v>
      </c>
      <c r="C102" s="253"/>
      <c r="D102" s="2">
        <v>0.55000000000000004</v>
      </c>
      <c r="E102" s="2">
        <v>0.48</v>
      </c>
      <c r="F102" s="2">
        <v>0.51</v>
      </c>
      <c r="G102" s="2">
        <v>0.53</v>
      </c>
      <c r="H102" s="2">
        <v>0.53</v>
      </c>
      <c r="I102" s="2">
        <v>0.51</v>
      </c>
      <c r="J102" s="2">
        <v>0.51</v>
      </c>
      <c r="K102" s="2">
        <v>0.49</v>
      </c>
      <c r="L102" s="2">
        <v>0.41</v>
      </c>
      <c r="M102" s="2">
        <v>0.44</v>
      </c>
      <c r="N102" s="2">
        <v>0.44</v>
      </c>
      <c r="O102" s="2">
        <v>0.52</v>
      </c>
    </row>
    <row r="103" spans="2:23">
      <c r="B103" t="s">
        <v>367</v>
      </c>
    </row>
    <row r="104" spans="2:23">
      <c r="H104" s="100">
        <v>11587</v>
      </c>
      <c r="I104">
        <f>H104*D102</f>
        <v>6372.85</v>
      </c>
    </row>
    <row r="106" spans="2:23">
      <c r="B106" t="s">
        <v>369</v>
      </c>
      <c r="K106" t="s">
        <v>392</v>
      </c>
    </row>
    <row r="107" spans="2:23" ht="15.75">
      <c r="B107" s="96" t="s">
        <v>7</v>
      </c>
      <c r="C107" s="96" t="s">
        <v>334</v>
      </c>
      <c r="D107" s="96" t="s">
        <v>373</v>
      </c>
      <c r="E107" s="96" t="s">
        <v>370</v>
      </c>
      <c r="F107" s="96" t="s">
        <v>371</v>
      </c>
      <c r="G107" s="96" t="s">
        <v>372</v>
      </c>
      <c r="K107" s="85" t="s">
        <v>334</v>
      </c>
      <c r="L107" s="2" t="s">
        <v>374</v>
      </c>
      <c r="M107" s="2" t="s">
        <v>375</v>
      </c>
      <c r="N107" s="2" t="s">
        <v>376</v>
      </c>
      <c r="O107" s="2" t="s">
        <v>377</v>
      </c>
      <c r="P107" s="2" t="s">
        <v>352</v>
      </c>
      <c r="Q107" s="2" t="s">
        <v>378</v>
      </c>
      <c r="R107" s="2" t="s">
        <v>379</v>
      </c>
      <c r="S107" s="2" t="s">
        <v>380</v>
      </c>
      <c r="T107" s="2" t="s">
        <v>393</v>
      </c>
      <c r="U107" s="2" t="s">
        <v>382</v>
      </c>
      <c r="V107" s="2" t="s">
        <v>383</v>
      </c>
      <c r="W107" s="2" t="s">
        <v>384</v>
      </c>
    </row>
    <row r="108" spans="2:23">
      <c r="B108" s="2">
        <v>1</v>
      </c>
      <c r="C108" s="2" t="s">
        <v>374</v>
      </c>
      <c r="D108" s="2">
        <v>26.8</v>
      </c>
      <c r="E108" s="2">
        <v>12.7</v>
      </c>
      <c r="F108" s="2">
        <v>0.70899999999999996</v>
      </c>
      <c r="G108" s="2">
        <v>139</v>
      </c>
      <c r="H108" s="97" t="s">
        <v>385</v>
      </c>
      <c r="I108" t="s">
        <v>386</v>
      </c>
      <c r="K108" s="85" t="s">
        <v>390</v>
      </c>
      <c r="L108" s="2">
        <v>2.5</v>
      </c>
      <c r="M108" s="2">
        <v>1.9</v>
      </c>
      <c r="N108" s="2">
        <v>1.9</v>
      </c>
      <c r="O108" s="2">
        <v>2.1</v>
      </c>
      <c r="P108" s="2">
        <v>1.9</v>
      </c>
      <c r="Q108" s="2">
        <v>1.5</v>
      </c>
      <c r="R108" s="2">
        <v>0.6</v>
      </c>
      <c r="S108" s="2">
        <v>1.2</v>
      </c>
      <c r="T108" s="2">
        <v>2.2000000000000002</v>
      </c>
      <c r="U108" s="2">
        <v>3.5</v>
      </c>
      <c r="V108" s="2">
        <v>5.5</v>
      </c>
      <c r="W108" s="2">
        <v>2.9</v>
      </c>
    </row>
    <row r="109" spans="2:23">
      <c r="B109" s="2">
        <v>2</v>
      </c>
      <c r="C109" s="2" t="s">
        <v>375</v>
      </c>
      <c r="D109" s="2">
        <v>26.7</v>
      </c>
      <c r="E109" s="2">
        <v>12.63</v>
      </c>
      <c r="F109" s="2">
        <v>0.70799999999999996</v>
      </c>
      <c r="G109" s="2">
        <v>138.69999999999999</v>
      </c>
      <c r="H109" s="97" t="s">
        <v>387</v>
      </c>
      <c r="I109" t="s">
        <v>388</v>
      </c>
      <c r="K109" s="85" t="s">
        <v>391</v>
      </c>
      <c r="L109" s="2">
        <v>4.2149999999999999</v>
      </c>
      <c r="M109" s="2">
        <v>4.2789999999999999</v>
      </c>
      <c r="N109" s="2">
        <v>5.6130000000000004</v>
      </c>
      <c r="O109" s="2">
        <v>5.81</v>
      </c>
      <c r="P109" s="2">
        <v>6.6079999999999997</v>
      </c>
      <c r="Q109" s="2">
        <v>3.4239999999999999</v>
      </c>
      <c r="R109" s="2">
        <v>2.8690000000000002</v>
      </c>
      <c r="S109" s="2">
        <v>3.1419999999999999</v>
      </c>
      <c r="T109" s="2">
        <v>3.8969999999999998</v>
      </c>
      <c r="U109" s="2">
        <v>4.3780000000000001</v>
      </c>
      <c r="V109" s="2">
        <v>6.8159999999999998</v>
      </c>
      <c r="W109" s="2">
        <v>5.0640000000000001</v>
      </c>
    </row>
    <row r="110" spans="2:23">
      <c r="B110" s="2">
        <v>3</v>
      </c>
      <c r="C110" s="2" t="s">
        <v>376</v>
      </c>
      <c r="D110" s="2">
        <v>27</v>
      </c>
      <c r="E110" s="2">
        <v>12.85</v>
      </c>
      <c r="F110" s="2">
        <v>0.71140000000000003</v>
      </c>
      <c r="G110" s="2">
        <v>139.6</v>
      </c>
      <c r="K110" t="s">
        <v>394</v>
      </c>
    </row>
    <row r="111" spans="2:23">
      <c r="B111" s="2">
        <v>4</v>
      </c>
      <c r="C111" s="2" t="s">
        <v>377</v>
      </c>
      <c r="D111" s="2">
        <v>27.2</v>
      </c>
      <c r="E111" s="2">
        <v>12.99</v>
      </c>
      <c r="F111" s="2">
        <v>0.71360000000000001</v>
      </c>
      <c r="G111" s="2">
        <v>140.19999999999999</v>
      </c>
    </row>
    <row r="112" spans="2:23">
      <c r="B112" s="2">
        <v>5</v>
      </c>
      <c r="C112" s="2" t="s">
        <v>352</v>
      </c>
      <c r="D112" s="2">
        <v>27</v>
      </c>
      <c r="E112" s="2">
        <v>12.85</v>
      </c>
      <c r="F112" s="2">
        <v>0.71140000000000003</v>
      </c>
      <c r="G112" s="2">
        <v>139.6</v>
      </c>
    </row>
    <row r="113" spans="2:7">
      <c r="B113" s="2">
        <v>6</v>
      </c>
      <c r="C113" s="2" t="s">
        <v>378</v>
      </c>
      <c r="D113" s="2">
        <v>26.6</v>
      </c>
      <c r="E113" s="2">
        <v>12.56</v>
      </c>
      <c r="F113" s="2">
        <v>0.70660000000000001</v>
      </c>
      <c r="G113" s="2">
        <v>138.4</v>
      </c>
    </row>
    <row r="114" spans="2:7">
      <c r="B114" s="2">
        <v>7</v>
      </c>
      <c r="C114" s="2" t="s">
        <v>379</v>
      </c>
      <c r="D114" s="2">
        <v>26.2</v>
      </c>
      <c r="E114" s="2">
        <v>12.28</v>
      </c>
      <c r="F114" s="2">
        <v>0.70209999999999995</v>
      </c>
      <c r="G114" s="2">
        <v>137.19999999999999</v>
      </c>
    </row>
    <row r="115" spans="2:7">
      <c r="B115" s="2">
        <v>8</v>
      </c>
      <c r="C115" s="2" t="s">
        <v>380</v>
      </c>
      <c r="D115" s="2">
        <v>26.5</v>
      </c>
      <c r="E115" s="2">
        <v>12.49</v>
      </c>
      <c r="F115" s="2">
        <v>0.70550000000000002</v>
      </c>
      <c r="G115" s="2">
        <v>138.1</v>
      </c>
    </row>
    <row r="116" spans="2:7">
      <c r="B116" s="2">
        <v>9</v>
      </c>
      <c r="C116" s="2" t="s">
        <v>381</v>
      </c>
      <c r="D116" s="2">
        <v>26.6</v>
      </c>
      <c r="E116" s="2">
        <v>12.56</v>
      </c>
      <c r="F116" s="2">
        <v>0.70660000000000001</v>
      </c>
      <c r="G116" s="2">
        <v>138.4</v>
      </c>
    </row>
    <row r="117" spans="2:7">
      <c r="B117" s="2">
        <v>10</v>
      </c>
      <c r="C117" s="2" t="s">
        <v>382</v>
      </c>
      <c r="D117" s="2">
        <v>26.9</v>
      </c>
      <c r="E117" s="2">
        <v>12.78</v>
      </c>
      <c r="F117" s="2">
        <v>0.71020000000000005</v>
      </c>
      <c r="G117" s="2">
        <v>139.30000000000001</v>
      </c>
    </row>
    <row r="118" spans="2:7">
      <c r="B118" s="2">
        <v>11</v>
      </c>
      <c r="C118" s="2" t="s">
        <v>383</v>
      </c>
      <c r="D118" s="2">
        <v>26.9</v>
      </c>
      <c r="E118" s="2">
        <v>12.78</v>
      </c>
      <c r="F118" s="2">
        <v>0.71020000000000005</v>
      </c>
      <c r="G118" s="2">
        <v>139.30000000000001</v>
      </c>
    </row>
    <row r="119" spans="2:7">
      <c r="B119" s="2">
        <v>12</v>
      </c>
      <c r="C119" s="2" t="s">
        <v>384</v>
      </c>
      <c r="D119" s="2">
        <v>26.9</v>
      </c>
      <c r="E119" s="2">
        <v>12.63</v>
      </c>
      <c r="F119" s="2">
        <v>0.70779999999999998</v>
      </c>
      <c r="G119" s="2">
        <v>138.69999999999999</v>
      </c>
    </row>
    <row r="120" spans="2:7">
      <c r="B120" s="240" t="s">
        <v>263</v>
      </c>
      <c r="C120" s="241"/>
      <c r="D120" s="241"/>
      <c r="E120" s="241"/>
      <c r="F120" s="242"/>
      <c r="G120" s="246">
        <f>SUM(G108:G119)</f>
        <v>1666.5</v>
      </c>
    </row>
    <row r="121" spans="2:7">
      <c r="B121" s="243"/>
      <c r="C121" s="244"/>
      <c r="D121" s="244"/>
      <c r="E121" s="244"/>
      <c r="F121" s="245"/>
      <c r="G121" s="247"/>
    </row>
    <row r="122" spans="2:7">
      <c r="B122" t="s">
        <v>389</v>
      </c>
    </row>
  </sheetData>
  <mergeCells count="27">
    <mergeCell ref="C47:O47"/>
    <mergeCell ref="C61:O61"/>
    <mergeCell ref="C75:O75"/>
    <mergeCell ref="P3:P4"/>
    <mergeCell ref="C2:P2"/>
    <mergeCell ref="F3:H3"/>
    <mergeCell ref="I3:I4"/>
    <mergeCell ref="J3:J4"/>
    <mergeCell ref="K3:K4"/>
    <mergeCell ref="L3:M3"/>
    <mergeCell ref="O3:O4"/>
    <mergeCell ref="D95:O95"/>
    <mergeCell ref="B120:F121"/>
    <mergeCell ref="G120:G121"/>
    <mergeCell ref="N3:N4"/>
    <mergeCell ref="B95:C96"/>
    <mergeCell ref="B97:C97"/>
    <mergeCell ref="B98:C98"/>
    <mergeCell ref="B99:C99"/>
    <mergeCell ref="B100:C100"/>
    <mergeCell ref="B102:C102"/>
    <mergeCell ref="B101:C101"/>
    <mergeCell ref="C5:O5"/>
    <mergeCell ref="C19:O19"/>
    <mergeCell ref="C33:O33"/>
    <mergeCell ref="C3:E3"/>
    <mergeCell ref="B3:B4"/>
  </mergeCells>
  <pageMargins left="0.7" right="0.7" top="0.75" bottom="0.75" header="0.3" footer="0.3"/>
  <pageSetup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75F0A3-7325-4810-801C-E9C1CCCF1C2F}">
  <dimension ref="B3:AC121"/>
  <sheetViews>
    <sheetView showGridLines="0" topLeftCell="A34" workbookViewId="0">
      <selection activeCell="AC114" sqref="AC114"/>
    </sheetView>
  </sheetViews>
  <sheetFormatPr defaultRowHeight="14.25"/>
  <cols>
    <col min="2" max="2" width="13.06640625" customWidth="1"/>
    <col min="3" max="3" width="13.46484375" customWidth="1"/>
    <col min="9" max="9" width="12" bestFit="1" customWidth="1"/>
    <col min="14" max="14" width="9.33203125" customWidth="1"/>
    <col min="15" max="15" width="12.46484375" bestFit="1" customWidth="1"/>
    <col min="21" max="21" width="12.46484375" bestFit="1" customWidth="1"/>
  </cols>
  <sheetData>
    <row r="3" spans="2:21" ht="15.75" customHeight="1">
      <c r="B3" t="s">
        <v>828</v>
      </c>
      <c r="C3" s="138" t="s">
        <v>829</v>
      </c>
      <c r="F3" s="268" t="s">
        <v>838</v>
      </c>
      <c r="G3" s="268"/>
      <c r="H3" s="268"/>
      <c r="I3" s="268">
        <v>931</v>
      </c>
      <c r="J3" s="268" t="s">
        <v>839</v>
      </c>
    </row>
    <row r="4" spans="2:21">
      <c r="F4" s="268"/>
      <c r="G4" s="268"/>
      <c r="H4" s="268"/>
      <c r="I4" s="268"/>
      <c r="J4" s="268"/>
    </row>
    <row r="5" spans="2:21">
      <c r="E5" s="3"/>
    </row>
    <row r="6" spans="2:21">
      <c r="B6" s="269" t="s">
        <v>835</v>
      </c>
      <c r="C6" s="269"/>
      <c r="H6" s="269" t="s">
        <v>836</v>
      </c>
      <c r="I6" s="269"/>
      <c r="N6" s="269" t="s">
        <v>840</v>
      </c>
      <c r="O6" s="269"/>
      <c r="T6" s="269" t="s">
        <v>841</v>
      </c>
      <c r="U6" s="269"/>
    </row>
    <row r="7" spans="2:21" ht="15.75">
      <c r="B7" s="142" t="s">
        <v>834</v>
      </c>
      <c r="C7" s="142" t="s">
        <v>837</v>
      </c>
      <c r="H7" s="142" t="s">
        <v>834</v>
      </c>
      <c r="I7" s="142" t="s">
        <v>837</v>
      </c>
      <c r="N7" s="142" t="s">
        <v>834</v>
      </c>
      <c r="O7" s="142" t="s">
        <v>837</v>
      </c>
      <c r="T7" s="142" t="s">
        <v>834</v>
      </c>
      <c r="U7" s="142" t="s">
        <v>837</v>
      </c>
    </row>
    <row r="8" spans="2:21" ht="14.25" customHeight="1">
      <c r="B8" s="115">
        <v>0</v>
      </c>
      <c r="C8" s="2">
        <v>0</v>
      </c>
      <c r="D8" s="68"/>
      <c r="H8" s="115">
        <v>0</v>
      </c>
      <c r="I8" s="2">
        <v>0</v>
      </c>
      <c r="N8" s="115">
        <v>0</v>
      </c>
      <c r="O8" s="2">
        <v>0</v>
      </c>
      <c r="T8" s="115">
        <v>0</v>
      </c>
      <c r="U8" s="2">
        <v>0</v>
      </c>
    </row>
    <row r="9" spans="2:21">
      <c r="B9" s="115">
        <v>1</v>
      </c>
      <c r="C9" s="2">
        <v>0</v>
      </c>
      <c r="D9" s="140"/>
      <c r="H9" s="115">
        <v>1</v>
      </c>
      <c r="I9" s="2">
        <v>0</v>
      </c>
      <c r="N9" s="115">
        <v>1</v>
      </c>
      <c r="O9" s="2">
        <v>0</v>
      </c>
      <c r="T9" s="115">
        <v>1</v>
      </c>
      <c r="U9" s="2">
        <v>0</v>
      </c>
    </row>
    <row r="10" spans="2:21">
      <c r="B10" s="115">
        <v>2</v>
      </c>
      <c r="C10" s="2">
        <v>0</v>
      </c>
      <c r="D10" s="140"/>
      <c r="H10" s="115">
        <v>2</v>
      </c>
      <c r="I10" s="2">
        <v>0</v>
      </c>
      <c r="N10" s="115">
        <v>2</v>
      </c>
      <c r="O10" s="2">
        <v>0</v>
      </c>
      <c r="T10" s="115">
        <v>2</v>
      </c>
      <c r="U10" s="2">
        <v>0</v>
      </c>
    </row>
    <row r="11" spans="2:21">
      <c r="B11" s="115">
        <v>3</v>
      </c>
      <c r="C11" s="2">
        <v>0</v>
      </c>
      <c r="D11" s="140"/>
      <c r="H11" s="115">
        <v>3</v>
      </c>
      <c r="I11" s="2">
        <v>0</v>
      </c>
      <c r="N11" s="115">
        <v>3</v>
      </c>
      <c r="O11" s="2">
        <v>0</v>
      </c>
      <c r="T11" s="115">
        <v>3</v>
      </c>
      <c r="U11" s="2">
        <v>0</v>
      </c>
    </row>
    <row r="12" spans="2:21">
      <c r="B12" s="115">
        <v>4</v>
      </c>
      <c r="C12" s="2">
        <v>0</v>
      </c>
      <c r="D12" s="140"/>
      <c r="H12" s="115">
        <v>4</v>
      </c>
      <c r="I12" s="2">
        <v>0</v>
      </c>
      <c r="N12" s="115">
        <v>4</v>
      </c>
      <c r="O12" s="2">
        <v>0</v>
      </c>
      <c r="T12" s="115">
        <v>4</v>
      </c>
      <c r="U12" s="2">
        <v>0</v>
      </c>
    </row>
    <row r="13" spans="2:21">
      <c r="B13" s="115">
        <v>5</v>
      </c>
      <c r="C13" s="2">
        <v>0</v>
      </c>
      <c r="D13" s="140"/>
      <c r="H13" s="115">
        <v>5</v>
      </c>
      <c r="I13" s="2">
        <v>0</v>
      </c>
      <c r="N13" s="115">
        <v>5</v>
      </c>
      <c r="O13" s="2">
        <v>0</v>
      </c>
      <c r="T13" s="115">
        <v>5</v>
      </c>
      <c r="U13" s="2">
        <v>0</v>
      </c>
    </row>
    <row r="14" spans="2:21">
      <c r="B14" s="115">
        <v>6</v>
      </c>
      <c r="C14" s="2">
        <v>21.4</v>
      </c>
      <c r="D14" s="140"/>
      <c r="H14" s="115">
        <v>6</v>
      </c>
      <c r="I14" s="2">
        <v>23.1</v>
      </c>
      <c r="N14" s="115">
        <v>6</v>
      </c>
      <c r="O14" s="2">
        <v>29</v>
      </c>
      <c r="T14" s="115">
        <v>6</v>
      </c>
      <c r="U14" s="2">
        <v>55.5</v>
      </c>
    </row>
    <row r="15" spans="2:21">
      <c r="B15" s="115">
        <v>7</v>
      </c>
      <c r="C15" s="2">
        <v>131.80000000000001</v>
      </c>
      <c r="D15" s="140"/>
      <c r="H15" s="115">
        <v>7</v>
      </c>
      <c r="I15" s="2">
        <v>157.69999999999999</v>
      </c>
      <c r="N15" s="115">
        <v>7</v>
      </c>
      <c r="O15" s="2">
        <v>175.7</v>
      </c>
      <c r="T15" s="115">
        <v>7</v>
      </c>
      <c r="U15" s="2">
        <v>209.1</v>
      </c>
    </row>
    <row r="16" spans="2:21">
      <c r="B16" s="115">
        <v>8</v>
      </c>
      <c r="C16" s="2">
        <v>190.4</v>
      </c>
      <c r="D16" s="140"/>
      <c r="H16" s="115">
        <v>8</v>
      </c>
      <c r="I16" s="2">
        <v>227.1</v>
      </c>
      <c r="N16" s="115">
        <v>8</v>
      </c>
      <c r="O16" s="2">
        <v>249.4</v>
      </c>
      <c r="T16" s="115">
        <v>8</v>
      </c>
      <c r="U16" s="2">
        <v>278.60000000000002</v>
      </c>
    </row>
    <row r="17" spans="2:21">
      <c r="B17" s="115">
        <v>9</v>
      </c>
      <c r="C17" s="2">
        <v>229.3</v>
      </c>
      <c r="D17" s="140"/>
      <c r="H17" s="115">
        <v>9</v>
      </c>
      <c r="I17" s="2">
        <v>270.5</v>
      </c>
      <c r="N17" s="115">
        <v>9</v>
      </c>
      <c r="O17" s="2">
        <v>273.89999999999998</v>
      </c>
      <c r="T17" s="115">
        <v>9</v>
      </c>
      <c r="U17" s="2">
        <v>296.10000000000002</v>
      </c>
    </row>
    <row r="18" spans="2:21">
      <c r="B18" s="115">
        <v>10</v>
      </c>
      <c r="C18" s="2">
        <v>243.8</v>
      </c>
      <c r="D18" s="140"/>
      <c r="H18" s="115">
        <v>10</v>
      </c>
      <c r="I18" s="2">
        <v>270.60000000000002</v>
      </c>
      <c r="N18" s="115">
        <v>10</v>
      </c>
      <c r="O18" s="2">
        <v>260.8</v>
      </c>
      <c r="T18" s="115">
        <v>10</v>
      </c>
      <c r="U18" s="2">
        <v>296.8</v>
      </c>
    </row>
    <row r="19" spans="2:21">
      <c r="B19" s="115">
        <v>11</v>
      </c>
      <c r="C19" s="2">
        <v>236.3</v>
      </c>
      <c r="D19" s="140"/>
      <c r="H19" s="115">
        <v>11</v>
      </c>
      <c r="I19" s="2">
        <v>271.3</v>
      </c>
      <c r="N19" s="115">
        <v>11</v>
      </c>
      <c r="O19" s="2">
        <v>266.10000000000002</v>
      </c>
      <c r="T19" s="115">
        <v>11</v>
      </c>
      <c r="U19" s="2">
        <v>313</v>
      </c>
    </row>
    <row r="20" spans="2:21">
      <c r="B20" s="115">
        <v>12</v>
      </c>
      <c r="C20" s="2">
        <v>246.9</v>
      </c>
      <c r="D20" s="140"/>
      <c r="H20" s="115">
        <v>12</v>
      </c>
      <c r="I20" s="2">
        <v>252.6</v>
      </c>
      <c r="N20" s="115">
        <v>12</v>
      </c>
      <c r="O20" s="2">
        <v>250</v>
      </c>
      <c r="T20" s="115">
        <v>12</v>
      </c>
      <c r="U20" s="2">
        <v>275.5</v>
      </c>
    </row>
    <row r="21" spans="2:21">
      <c r="B21" s="115">
        <v>13</v>
      </c>
      <c r="C21" s="2">
        <v>242</v>
      </c>
      <c r="D21" s="140"/>
      <c r="H21" s="115">
        <v>13</v>
      </c>
      <c r="I21" s="2">
        <v>254.1</v>
      </c>
      <c r="N21" s="115">
        <v>13</v>
      </c>
      <c r="O21" s="2">
        <v>288.8</v>
      </c>
      <c r="T21" s="115">
        <v>13</v>
      </c>
      <c r="U21" s="2">
        <v>259.10000000000002</v>
      </c>
    </row>
    <row r="22" spans="2:21">
      <c r="B22" s="115">
        <v>14</v>
      </c>
      <c r="C22" s="2">
        <v>240.5</v>
      </c>
      <c r="D22" s="140"/>
      <c r="H22" s="115">
        <v>14</v>
      </c>
      <c r="I22" s="2">
        <v>283</v>
      </c>
      <c r="N22" s="115">
        <v>14</v>
      </c>
      <c r="O22" s="2">
        <v>285</v>
      </c>
      <c r="T22" s="115">
        <v>14</v>
      </c>
      <c r="U22" s="2">
        <v>266.7</v>
      </c>
    </row>
    <row r="23" spans="2:21">
      <c r="B23" s="115">
        <v>15</v>
      </c>
      <c r="C23" s="2">
        <v>210.9</v>
      </c>
      <c r="D23" s="140"/>
      <c r="H23" s="115">
        <v>15</v>
      </c>
      <c r="I23" s="2">
        <v>269.8</v>
      </c>
      <c r="N23" s="115">
        <v>15</v>
      </c>
      <c r="O23" s="2">
        <v>274.8</v>
      </c>
      <c r="T23" s="115">
        <v>15</v>
      </c>
      <c r="U23" s="2">
        <v>250</v>
      </c>
    </row>
    <row r="24" spans="2:21">
      <c r="B24" s="115">
        <v>16</v>
      </c>
      <c r="C24" s="2">
        <v>173.1</v>
      </c>
      <c r="D24" s="140"/>
      <c r="H24" s="115">
        <v>16</v>
      </c>
      <c r="I24" s="2">
        <v>212.4</v>
      </c>
      <c r="N24" s="115">
        <v>16</v>
      </c>
      <c r="O24" s="2">
        <v>227.2</v>
      </c>
      <c r="T24" s="115">
        <v>16</v>
      </c>
      <c r="U24" s="2">
        <v>218.5</v>
      </c>
    </row>
    <row r="25" spans="2:21">
      <c r="B25" s="115">
        <v>17</v>
      </c>
      <c r="C25" s="2">
        <v>119.2</v>
      </c>
      <c r="D25" s="140"/>
      <c r="H25" s="115">
        <v>17</v>
      </c>
      <c r="I25" s="2">
        <v>148.5</v>
      </c>
      <c r="N25" s="115">
        <v>17</v>
      </c>
      <c r="O25" s="2">
        <v>130.19999999999999</v>
      </c>
      <c r="T25" s="115">
        <v>17</v>
      </c>
      <c r="U25" s="2">
        <v>88.1</v>
      </c>
    </row>
    <row r="26" spans="2:21">
      <c r="B26" s="115">
        <v>18</v>
      </c>
      <c r="C26" s="2">
        <v>0</v>
      </c>
      <c r="D26" s="140"/>
      <c r="H26" s="115">
        <v>18</v>
      </c>
      <c r="I26" s="2">
        <v>0</v>
      </c>
      <c r="N26" s="115">
        <v>18</v>
      </c>
      <c r="O26" s="2">
        <v>0</v>
      </c>
      <c r="T26" s="115">
        <v>18</v>
      </c>
      <c r="U26" s="2">
        <v>0</v>
      </c>
    </row>
    <row r="27" spans="2:21">
      <c r="B27" s="115">
        <v>19</v>
      </c>
      <c r="C27" s="2">
        <v>0</v>
      </c>
      <c r="D27" s="140"/>
      <c r="H27" s="115">
        <v>19</v>
      </c>
      <c r="I27" s="2">
        <v>0</v>
      </c>
      <c r="N27" s="115">
        <v>19</v>
      </c>
      <c r="O27" s="2">
        <v>0</v>
      </c>
      <c r="T27" s="115">
        <v>19</v>
      </c>
      <c r="U27" s="2">
        <v>0</v>
      </c>
    </row>
    <row r="28" spans="2:21">
      <c r="B28" s="115">
        <v>20</v>
      </c>
      <c r="C28" s="2">
        <v>0</v>
      </c>
      <c r="D28" s="140"/>
      <c r="H28" s="115">
        <v>20</v>
      </c>
      <c r="I28" s="2">
        <v>0</v>
      </c>
      <c r="N28" s="115">
        <v>20</v>
      </c>
      <c r="O28" s="2">
        <v>0</v>
      </c>
      <c r="T28" s="115">
        <v>20</v>
      </c>
      <c r="U28" s="2">
        <v>0</v>
      </c>
    </row>
    <row r="29" spans="2:21">
      <c r="B29" s="115">
        <v>21</v>
      </c>
      <c r="C29" s="2">
        <v>0</v>
      </c>
      <c r="D29" s="140"/>
      <c r="H29" s="115">
        <v>21</v>
      </c>
      <c r="I29" s="2">
        <v>0</v>
      </c>
      <c r="N29" s="115">
        <v>21</v>
      </c>
      <c r="O29" s="2">
        <v>0</v>
      </c>
      <c r="T29" s="115">
        <v>21</v>
      </c>
      <c r="U29" s="2">
        <v>0</v>
      </c>
    </row>
    <row r="30" spans="2:21">
      <c r="B30" s="115">
        <v>22</v>
      </c>
      <c r="C30" s="2">
        <v>0</v>
      </c>
      <c r="D30" s="140"/>
      <c r="H30" s="115">
        <v>22</v>
      </c>
      <c r="I30" s="2">
        <v>0</v>
      </c>
      <c r="N30" s="115">
        <v>22</v>
      </c>
      <c r="O30" s="2">
        <v>0</v>
      </c>
      <c r="T30" s="115">
        <v>22</v>
      </c>
      <c r="U30" s="2">
        <v>0</v>
      </c>
    </row>
    <row r="31" spans="2:21">
      <c r="B31" s="115">
        <v>23</v>
      </c>
      <c r="C31" s="2">
        <v>0</v>
      </c>
      <c r="D31" s="140"/>
      <c r="H31" s="115">
        <v>23</v>
      </c>
      <c r="I31" s="2">
        <v>0</v>
      </c>
      <c r="N31" s="115">
        <v>23</v>
      </c>
      <c r="O31" s="2">
        <v>0</v>
      </c>
      <c r="T31" s="115">
        <v>23</v>
      </c>
      <c r="U31" s="2">
        <v>0</v>
      </c>
    </row>
    <row r="32" spans="2:21" ht="14.25" customHeight="1">
      <c r="C32" s="68"/>
      <c r="D32" s="68"/>
    </row>
    <row r="33" spans="2:21">
      <c r="C33" s="68"/>
      <c r="D33" s="140"/>
    </row>
    <row r="34" spans="2:21">
      <c r="C34" s="68"/>
      <c r="D34" s="140"/>
    </row>
    <row r="35" spans="2:21">
      <c r="B35" s="270" t="s">
        <v>831</v>
      </c>
      <c r="C35" s="271"/>
      <c r="D35" s="140"/>
      <c r="N35" s="269" t="s">
        <v>842</v>
      </c>
      <c r="O35" s="269"/>
      <c r="T35" s="269" t="s">
        <v>843</v>
      </c>
      <c r="U35" s="269"/>
    </row>
    <row r="36" spans="2:21" ht="15.75">
      <c r="B36" s="141" t="s">
        <v>832</v>
      </c>
      <c r="C36" s="141" t="s">
        <v>906</v>
      </c>
      <c r="D36" s="140"/>
      <c r="N36" s="142" t="s">
        <v>834</v>
      </c>
      <c r="O36" s="142" t="s">
        <v>837</v>
      </c>
      <c r="T36" s="142" t="s">
        <v>834</v>
      </c>
      <c r="U36" s="142" t="s">
        <v>837</v>
      </c>
    </row>
    <row r="37" spans="2:21">
      <c r="B37" s="2" t="s">
        <v>374</v>
      </c>
      <c r="C37" s="2">
        <v>70.900000000000006</v>
      </c>
      <c r="D37" s="140"/>
      <c r="N37" s="115">
        <v>0</v>
      </c>
      <c r="O37" s="2">
        <v>0</v>
      </c>
      <c r="T37" s="115">
        <v>0</v>
      </c>
      <c r="U37" s="2">
        <v>0</v>
      </c>
    </row>
    <row r="38" spans="2:21">
      <c r="B38" s="2" t="s">
        <v>375</v>
      </c>
      <c r="C38" s="2">
        <v>73.900000000000006</v>
      </c>
      <c r="D38" s="140"/>
      <c r="N38" s="115">
        <v>1</v>
      </c>
      <c r="O38" s="2">
        <v>0</v>
      </c>
      <c r="T38" s="115">
        <v>1</v>
      </c>
      <c r="U38" s="2">
        <v>0</v>
      </c>
    </row>
    <row r="39" spans="2:21">
      <c r="B39" s="2" t="s">
        <v>376</v>
      </c>
      <c r="C39" s="2">
        <v>84</v>
      </c>
      <c r="D39" s="140"/>
      <c r="N39" s="115">
        <v>2</v>
      </c>
      <c r="O39" s="2">
        <v>0</v>
      </c>
      <c r="T39" s="115">
        <v>2</v>
      </c>
      <c r="U39" s="2">
        <v>0</v>
      </c>
    </row>
    <row r="40" spans="2:21">
      <c r="B40" s="2" t="s">
        <v>377</v>
      </c>
      <c r="C40" s="2">
        <v>84.2</v>
      </c>
      <c r="D40" s="140"/>
      <c r="N40" s="115">
        <v>3</v>
      </c>
      <c r="O40" s="2">
        <v>0</v>
      </c>
      <c r="T40" s="115">
        <v>3</v>
      </c>
      <c r="U40" s="2">
        <v>0</v>
      </c>
    </row>
    <row r="41" spans="2:21">
      <c r="B41" s="2" t="s">
        <v>352</v>
      </c>
      <c r="C41" s="2">
        <v>85.3</v>
      </c>
      <c r="D41" s="140"/>
      <c r="N41" s="115">
        <v>4</v>
      </c>
      <c r="O41" s="2">
        <v>0</v>
      </c>
      <c r="T41" s="115">
        <v>4</v>
      </c>
      <c r="U41" s="2">
        <v>0</v>
      </c>
    </row>
    <row r="42" spans="2:21">
      <c r="B42" s="2" t="s">
        <v>378</v>
      </c>
      <c r="C42" s="2">
        <v>75.5</v>
      </c>
      <c r="D42" s="140"/>
      <c r="N42" s="115">
        <v>5</v>
      </c>
      <c r="O42" s="2">
        <v>0</v>
      </c>
      <c r="T42" s="115">
        <v>5</v>
      </c>
      <c r="U42" s="2">
        <v>0</v>
      </c>
    </row>
    <row r="43" spans="2:21">
      <c r="B43" s="2" t="s">
        <v>379</v>
      </c>
      <c r="C43" s="2">
        <v>80.599999999999994</v>
      </c>
      <c r="D43" s="140"/>
      <c r="N43" s="115">
        <v>6</v>
      </c>
      <c r="O43" s="2">
        <v>83.6</v>
      </c>
      <c r="T43" s="115">
        <v>6</v>
      </c>
      <c r="U43" s="2">
        <v>58.4</v>
      </c>
    </row>
    <row r="44" spans="2:21">
      <c r="B44" s="2" t="s">
        <v>380</v>
      </c>
      <c r="C44" s="2">
        <v>77.7</v>
      </c>
      <c r="D44" s="140"/>
      <c r="N44" s="115">
        <v>7</v>
      </c>
      <c r="O44" s="2">
        <v>224.3</v>
      </c>
      <c r="T44" s="115">
        <v>7</v>
      </c>
      <c r="U44" s="2">
        <v>211.4</v>
      </c>
    </row>
    <row r="45" spans="2:21">
      <c r="B45" s="2" t="s">
        <v>393</v>
      </c>
      <c r="C45" s="2">
        <v>76.400000000000006</v>
      </c>
      <c r="D45" s="140"/>
      <c r="N45" s="115">
        <v>8</v>
      </c>
      <c r="O45" s="2">
        <v>283.3</v>
      </c>
      <c r="T45" s="115">
        <v>8</v>
      </c>
      <c r="U45" s="2">
        <v>253.1</v>
      </c>
    </row>
    <row r="46" spans="2:21">
      <c r="B46" s="2" t="s">
        <v>382</v>
      </c>
      <c r="C46" s="2">
        <v>76.5</v>
      </c>
      <c r="D46" s="140"/>
      <c r="N46" s="115">
        <v>9</v>
      </c>
      <c r="O46" s="2">
        <v>289.39999999999998</v>
      </c>
      <c r="T46" s="115">
        <v>9</v>
      </c>
      <c r="U46" s="2">
        <v>262.2</v>
      </c>
    </row>
    <row r="47" spans="2:21">
      <c r="B47" s="2" t="s">
        <v>383</v>
      </c>
      <c r="C47" s="2">
        <v>72.8</v>
      </c>
      <c r="D47" s="140"/>
      <c r="N47" s="115">
        <v>10</v>
      </c>
      <c r="O47" s="2">
        <v>282.8</v>
      </c>
      <c r="T47" s="115">
        <v>10</v>
      </c>
      <c r="U47" s="2">
        <v>260.2</v>
      </c>
    </row>
    <row r="48" spans="2:21">
      <c r="B48" s="2" t="s">
        <v>384</v>
      </c>
      <c r="C48" s="2">
        <v>73.400000000000006</v>
      </c>
      <c r="D48" s="140"/>
      <c r="N48" s="115">
        <v>11</v>
      </c>
      <c r="O48" s="2">
        <v>286.60000000000002</v>
      </c>
      <c r="T48" s="115">
        <v>11</v>
      </c>
      <c r="U48" s="2">
        <v>259.7</v>
      </c>
    </row>
    <row r="49" spans="2:21">
      <c r="C49" s="68"/>
      <c r="D49" s="140"/>
      <c r="N49" s="115">
        <v>12</v>
      </c>
      <c r="O49" s="2">
        <v>270.5</v>
      </c>
      <c r="T49" s="115">
        <v>12</v>
      </c>
      <c r="U49" s="2">
        <v>269.10000000000002</v>
      </c>
    </row>
    <row r="50" spans="2:21">
      <c r="C50" s="68"/>
      <c r="D50" s="140"/>
      <c r="N50" s="115">
        <v>13</v>
      </c>
      <c r="O50" s="2">
        <v>266.10000000000002</v>
      </c>
      <c r="T50" s="115">
        <v>13</v>
      </c>
      <c r="U50" s="2">
        <v>243.3</v>
      </c>
    </row>
    <row r="51" spans="2:21">
      <c r="C51" s="68"/>
      <c r="D51" s="140"/>
      <c r="N51" s="115">
        <v>14</v>
      </c>
      <c r="O51" s="2">
        <v>246</v>
      </c>
      <c r="T51" s="115">
        <v>14</v>
      </c>
      <c r="U51" s="2">
        <v>220.1</v>
      </c>
    </row>
    <row r="52" spans="2:21">
      <c r="C52" s="68"/>
      <c r="D52" s="140"/>
      <c r="N52" s="115">
        <v>15</v>
      </c>
      <c r="O52" s="2">
        <v>224</v>
      </c>
      <c r="T52" s="115">
        <v>15</v>
      </c>
      <c r="U52" s="2">
        <v>204.8</v>
      </c>
    </row>
    <row r="53" spans="2:21">
      <c r="C53" s="68"/>
      <c r="D53" s="140"/>
      <c r="N53" s="115">
        <v>16</v>
      </c>
      <c r="O53" s="2">
        <v>205.8</v>
      </c>
      <c r="T53" s="115">
        <v>16</v>
      </c>
      <c r="U53" s="2">
        <v>192.5</v>
      </c>
    </row>
    <row r="54" spans="2:21">
      <c r="C54" s="68"/>
      <c r="D54" s="140"/>
      <c r="N54" s="115">
        <v>17</v>
      </c>
      <c r="O54" s="2">
        <v>89.4</v>
      </c>
      <c r="T54" s="115">
        <v>17</v>
      </c>
      <c r="U54" s="2">
        <v>80.8</v>
      </c>
    </row>
    <row r="55" spans="2:21">
      <c r="C55" s="68"/>
      <c r="D55" s="140"/>
      <c r="N55" s="115">
        <v>18</v>
      </c>
      <c r="O55" s="2">
        <v>0</v>
      </c>
      <c r="T55" s="115">
        <v>18</v>
      </c>
      <c r="U55" s="2">
        <v>0</v>
      </c>
    </row>
    <row r="56" spans="2:21">
      <c r="N56" s="115">
        <v>19</v>
      </c>
      <c r="O56" s="2">
        <v>0</v>
      </c>
      <c r="T56" s="115">
        <v>19</v>
      </c>
      <c r="U56" s="2">
        <v>0</v>
      </c>
    </row>
    <row r="57" spans="2:21">
      <c r="N57" s="115">
        <v>20</v>
      </c>
      <c r="O57" s="2">
        <v>0</v>
      </c>
      <c r="T57" s="115">
        <v>20</v>
      </c>
      <c r="U57" s="2">
        <v>0</v>
      </c>
    </row>
    <row r="58" spans="2:21">
      <c r="N58" s="115">
        <v>21</v>
      </c>
      <c r="O58" s="2">
        <v>0</v>
      </c>
      <c r="T58" s="115">
        <v>21</v>
      </c>
      <c r="U58" s="2">
        <v>0</v>
      </c>
    </row>
    <row r="59" spans="2:21">
      <c r="N59" s="115">
        <v>22</v>
      </c>
      <c r="O59" s="2">
        <v>0</v>
      </c>
      <c r="T59" s="115">
        <v>22</v>
      </c>
      <c r="U59" s="2">
        <v>0</v>
      </c>
    </row>
    <row r="60" spans="2:21">
      <c r="N60" s="115">
        <v>23</v>
      </c>
      <c r="O60" s="2">
        <v>0</v>
      </c>
      <c r="T60" s="115">
        <v>23</v>
      </c>
      <c r="U60" s="2">
        <v>0</v>
      </c>
    </row>
    <row r="62" spans="2:21">
      <c r="B62" s="269" t="s">
        <v>844</v>
      </c>
      <c r="C62" s="269"/>
      <c r="H62" s="269" t="s">
        <v>845</v>
      </c>
      <c r="I62" s="269"/>
      <c r="N62" s="269" t="s">
        <v>846</v>
      </c>
      <c r="O62" s="269"/>
      <c r="T62" s="269" t="s">
        <v>847</v>
      </c>
      <c r="U62" s="269"/>
    </row>
    <row r="63" spans="2:21" ht="15.75">
      <c r="B63" s="142" t="s">
        <v>834</v>
      </c>
      <c r="C63" s="142" t="s">
        <v>837</v>
      </c>
      <c r="H63" s="142" t="s">
        <v>834</v>
      </c>
      <c r="I63" s="142" t="s">
        <v>837</v>
      </c>
      <c r="N63" s="142" t="s">
        <v>834</v>
      </c>
      <c r="O63" s="142" t="s">
        <v>837</v>
      </c>
      <c r="T63" s="142" t="s">
        <v>834</v>
      </c>
      <c r="U63" s="142" t="s">
        <v>837</v>
      </c>
    </row>
    <row r="64" spans="2:21">
      <c r="B64" s="115">
        <v>0</v>
      </c>
      <c r="C64" s="2">
        <v>0</v>
      </c>
      <c r="H64" s="115">
        <v>0</v>
      </c>
      <c r="I64" s="2">
        <v>0</v>
      </c>
      <c r="N64" s="115">
        <v>0</v>
      </c>
      <c r="O64" s="2">
        <v>0</v>
      </c>
      <c r="T64" s="115">
        <v>0</v>
      </c>
      <c r="U64" s="2">
        <v>0</v>
      </c>
    </row>
    <row r="65" spans="2:21">
      <c r="B65" s="115">
        <v>1</v>
      </c>
      <c r="C65" s="2">
        <v>0</v>
      </c>
      <c r="H65" s="115">
        <v>1</v>
      </c>
      <c r="I65" s="2">
        <v>0</v>
      </c>
      <c r="N65" s="115">
        <v>1</v>
      </c>
      <c r="O65" s="2">
        <v>0</v>
      </c>
      <c r="T65" s="115">
        <v>1</v>
      </c>
      <c r="U65" s="2">
        <v>0</v>
      </c>
    </row>
    <row r="66" spans="2:21">
      <c r="B66" s="115">
        <v>2</v>
      </c>
      <c r="C66" s="2">
        <v>0</v>
      </c>
      <c r="H66" s="115">
        <v>2</v>
      </c>
      <c r="I66" s="2">
        <v>0</v>
      </c>
      <c r="N66" s="115">
        <v>2</v>
      </c>
      <c r="O66" s="2">
        <v>0</v>
      </c>
      <c r="T66" s="115">
        <v>2</v>
      </c>
      <c r="U66" s="2">
        <v>0</v>
      </c>
    </row>
    <row r="67" spans="2:21">
      <c r="B67" s="115">
        <v>3</v>
      </c>
      <c r="C67" s="2">
        <v>0</v>
      </c>
      <c r="H67" s="115">
        <v>3</v>
      </c>
      <c r="I67" s="2">
        <v>0</v>
      </c>
      <c r="N67" s="115">
        <v>3</v>
      </c>
      <c r="O67" s="2">
        <v>0</v>
      </c>
      <c r="T67" s="115">
        <v>3</v>
      </c>
      <c r="U67" s="2">
        <v>0</v>
      </c>
    </row>
    <row r="68" spans="2:21">
      <c r="B68" s="115">
        <v>4</v>
      </c>
      <c r="C68" s="2">
        <v>0</v>
      </c>
      <c r="H68" s="115">
        <v>4</v>
      </c>
      <c r="I68" s="2">
        <v>0</v>
      </c>
      <c r="N68" s="115">
        <v>4</v>
      </c>
      <c r="O68" s="2">
        <v>0</v>
      </c>
      <c r="T68" s="115">
        <v>4</v>
      </c>
      <c r="U68" s="2">
        <v>0</v>
      </c>
    </row>
    <row r="69" spans="2:21">
      <c r="B69" s="115">
        <v>5</v>
      </c>
      <c r="C69" s="2">
        <v>0</v>
      </c>
      <c r="H69" s="115">
        <v>5</v>
      </c>
      <c r="I69" s="2">
        <v>0</v>
      </c>
      <c r="N69" s="115">
        <v>5</v>
      </c>
      <c r="O69" s="2">
        <v>0</v>
      </c>
      <c r="T69" s="115">
        <v>5</v>
      </c>
      <c r="U69" s="2">
        <v>0</v>
      </c>
    </row>
    <row r="70" spans="2:21">
      <c r="B70" s="115">
        <v>6</v>
      </c>
      <c r="C70" s="2">
        <v>34.200000000000003</v>
      </c>
      <c r="H70" s="115">
        <v>6</v>
      </c>
      <c r="I70" s="2">
        <v>33.1</v>
      </c>
      <c r="N70" s="115">
        <v>6</v>
      </c>
      <c r="O70" s="2">
        <v>66.5</v>
      </c>
      <c r="T70" s="115">
        <v>6</v>
      </c>
      <c r="U70" s="2">
        <v>83.1</v>
      </c>
    </row>
    <row r="71" spans="2:21">
      <c r="B71" s="115">
        <v>7</v>
      </c>
      <c r="C71" s="2">
        <v>202.1</v>
      </c>
      <c r="H71" s="115">
        <v>7</v>
      </c>
      <c r="I71" s="2">
        <v>198.4</v>
      </c>
      <c r="N71" s="115">
        <v>7</v>
      </c>
      <c r="O71" s="2">
        <v>191.6</v>
      </c>
      <c r="T71" s="115">
        <v>7</v>
      </c>
      <c r="U71" s="2">
        <v>188.4</v>
      </c>
    </row>
    <row r="72" spans="2:21">
      <c r="B72" s="115">
        <v>8</v>
      </c>
      <c r="C72" s="2">
        <v>258.89999999999998</v>
      </c>
      <c r="H72" s="115">
        <v>8</v>
      </c>
      <c r="I72" s="2">
        <v>260.5</v>
      </c>
      <c r="N72" s="115">
        <v>8</v>
      </c>
      <c r="O72" s="2">
        <v>248.9</v>
      </c>
      <c r="T72" s="115">
        <v>8</v>
      </c>
      <c r="U72" s="2">
        <v>243.2</v>
      </c>
    </row>
    <row r="73" spans="2:21">
      <c r="B73" s="115">
        <v>9</v>
      </c>
      <c r="C73" s="2">
        <v>252.9</v>
      </c>
      <c r="H73" s="115">
        <v>9</v>
      </c>
      <c r="I73" s="2">
        <v>242.9</v>
      </c>
      <c r="N73" s="115">
        <v>9</v>
      </c>
      <c r="O73" s="2">
        <v>237.6</v>
      </c>
      <c r="T73" s="115">
        <v>9</v>
      </c>
      <c r="U73" s="2">
        <v>259.8</v>
      </c>
    </row>
    <row r="74" spans="2:21">
      <c r="B74" s="115">
        <v>10</v>
      </c>
      <c r="C74" s="2">
        <v>241.5</v>
      </c>
      <c r="H74" s="115">
        <v>10</v>
      </c>
      <c r="I74" s="2">
        <v>228.4</v>
      </c>
      <c r="N74" s="115">
        <v>10</v>
      </c>
      <c r="O74" s="2">
        <v>236.6</v>
      </c>
      <c r="T74" s="115">
        <v>10</v>
      </c>
      <c r="U74" s="2">
        <v>260.39999999999998</v>
      </c>
    </row>
    <row r="75" spans="2:21">
      <c r="B75" s="115">
        <v>11</v>
      </c>
      <c r="C75" s="2">
        <v>261.7</v>
      </c>
      <c r="H75" s="115">
        <v>11</v>
      </c>
      <c r="I75" s="2">
        <v>234.3</v>
      </c>
      <c r="N75" s="115">
        <v>11</v>
      </c>
      <c r="O75" s="2">
        <v>262.60000000000002</v>
      </c>
      <c r="T75" s="115">
        <v>11</v>
      </c>
      <c r="U75" s="2">
        <v>258.5</v>
      </c>
    </row>
    <row r="76" spans="2:21">
      <c r="B76" s="115">
        <v>12</v>
      </c>
      <c r="C76" s="2">
        <v>267</v>
      </c>
      <c r="H76" s="115">
        <v>12</v>
      </c>
      <c r="I76" s="2">
        <v>228</v>
      </c>
      <c r="N76" s="115">
        <v>12</v>
      </c>
      <c r="O76" s="2">
        <v>258.10000000000002</v>
      </c>
      <c r="T76" s="115">
        <v>12</v>
      </c>
      <c r="U76" s="2">
        <v>236.6</v>
      </c>
    </row>
    <row r="77" spans="2:21">
      <c r="B77" s="115">
        <v>13</v>
      </c>
      <c r="C77" s="2">
        <v>258.5</v>
      </c>
      <c r="H77" s="115">
        <v>13</v>
      </c>
      <c r="I77" s="2">
        <v>230.9</v>
      </c>
      <c r="N77" s="115">
        <v>13</v>
      </c>
      <c r="O77" s="2">
        <v>279.60000000000002</v>
      </c>
      <c r="T77" s="115">
        <v>13</v>
      </c>
      <c r="U77" s="2">
        <v>251.9</v>
      </c>
    </row>
    <row r="78" spans="2:21">
      <c r="B78" s="115">
        <v>14</v>
      </c>
      <c r="C78" s="2">
        <v>248.8</v>
      </c>
      <c r="H78" s="115">
        <v>14</v>
      </c>
      <c r="I78" s="2">
        <v>239.2</v>
      </c>
      <c r="N78" s="115">
        <v>14</v>
      </c>
      <c r="O78" s="2">
        <v>261.2</v>
      </c>
      <c r="T78" s="115">
        <v>14</v>
      </c>
      <c r="U78" s="2">
        <v>245.3</v>
      </c>
    </row>
    <row r="79" spans="2:21">
      <c r="B79" s="115">
        <v>15</v>
      </c>
      <c r="C79" s="2">
        <v>231.9</v>
      </c>
      <c r="H79" s="115">
        <v>15</v>
      </c>
      <c r="I79" s="2">
        <v>248.3</v>
      </c>
      <c r="N79" s="115">
        <v>15</v>
      </c>
      <c r="O79" s="2">
        <v>240.7</v>
      </c>
      <c r="T79" s="115">
        <v>15</v>
      </c>
      <c r="U79" s="2">
        <v>211.3</v>
      </c>
    </row>
    <row r="80" spans="2:21">
      <c r="B80" s="115">
        <v>16</v>
      </c>
      <c r="C80" s="2">
        <v>213.9</v>
      </c>
      <c r="H80" s="115">
        <v>16</v>
      </c>
      <c r="I80" s="2">
        <v>229.2</v>
      </c>
      <c r="N80" s="115">
        <v>16</v>
      </c>
      <c r="O80" s="2">
        <v>192</v>
      </c>
      <c r="T80" s="115">
        <v>16</v>
      </c>
      <c r="U80" s="2">
        <v>172.2</v>
      </c>
    </row>
    <row r="81" spans="2:27">
      <c r="B81" s="115">
        <v>17</v>
      </c>
      <c r="C81" s="2">
        <v>128.5</v>
      </c>
      <c r="H81" s="115">
        <v>17</v>
      </c>
      <c r="I81" s="2">
        <v>132.4</v>
      </c>
      <c r="N81" s="115">
        <v>17</v>
      </c>
      <c r="O81" s="2">
        <v>69.599999999999994</v>
      </c>
      <c r="T81" s="115">
        <v>17</v>
      </c>
      <c r="U81" s="2">
        <v>58.3</v>
      </c>
    </row>
    <row r="82" spans="2:27">
      <c r="B82" s="115">
        <v>18</v>
      </c>
      <c r="C82" s="2">
        <v>0</v>
      </c>
      <c r="H82" s="115">
        <v>18</v>
      </c>
      <c r="I82" s="2">
        <v>0</v>
      </c>
      <c r="N82" s="115">
        <v>18</v>
      </c>
      <c r="O82" s="2">
        <v>0</v>
      </c>
      <c r="T82" s="115">
        <v>18</v>
      </c>
      <c r="U82" s="2">
        <v>0</v>
      </c>
    </row>
    <row r="83" spans="2:27">
      <c r="B83" s="115">
        <v>19</v>
      </c>
      <c r="C83" s="2">
        <v>0</v>
      </c>
      <c r="H83" s="115">
        <v>19</v>
      </c>
      <c r="I83" s="2">
        <v>0</v>
      </c>
      <c r="N83" s="115">
        <v>19</v>
      </c>
      <c r="O83" s="2">
        <v>0</v>
      </c>
      <c r="T83" s="115">
        <v>19</v>
      </c>
      <c r="U83" s="2">
        <v>0</v>
      </c>
    </row>
    <row r="84" spans="2:27">
      <c r="B84" s="115">
        <v>20</v>
      </c>
      <c r="C84" s="2">
        <v>0</v>
      </c>
      <c r="H84" s="115">
        <v>20</v>
      </c>
      <c r="I84" s="2">
        <v>0</v>
      </c>
      <c r="N84" s="115">
        <v>20</v>
      </c>
      <c r="O84" s="2">
        <v>0</v>
      </c>
      <c r="T84" s="115">
        <v>20</v>
      </c>
      <c r="U84" s="2">
        <v>0</v>
      </c>
    </row>
    <row r="85" spans="2:27">
      <c r="B85" s="115">
        <v>21</v>
      </c>
      <c r="C85" s="2">
        <v>0</v>
      </c>
      <c r="H85" s="115">
        <v>21</v>
      </c>
      <c r="I85" s="2">
        <v>0</v>
      </c>
      <c r="N85" s="115">
        <v>21</v>
      </c>
      <c r="O85" s="2">
        <v>0</v>
      </c>
      <c r="T85" s="115">
        <v>21</v>
      </c>
      <c r="U85" s="2">
        <v>0</v>
      </c>
    </row>
    <row r="86" spans="2:27">
      <c r="B86" s="115">
        <v>22</v>
      </c>
      <c r="C86" s="2">
        <v>0</v>
      </c>
      <c r="H86" s="115">
        <v>22</v>
      </c>
      <c r="I86" s="2">
        <v>0</v>
      </c>
      <c r="N86" s="115">
        <v>22</v>
      </c>
      <c r="O86" s="2">
        <v>0</v>
      </c>
      <c r="T86" s="115">
        <v>22</v>
      </c>
      <c r="U86" s="2">
        <v>0</v>
      </c>
    </row>
    <row r="87" spans="2:27">
      <c r="B87" s="115">
        <v>23</v>
      </c>
      <c r="C87" s="2">
        <v>0</v>
      </c>
      <c r="H87" s="115">
        <v>23</v>
      </c>
      <c r="I87" s="2">
        <v>0</v>
      </c>
      <c r="N87" s="115">
        <v>23</v>
      </c>
      <c r="O87" s="2">
        <v>0</v>
      </c>
      <c r="T87" s="115">
        <v>23</v>
      </c>
      <c r="U87" s="2">
        <v>0</v>
      </c>
    </row>
    <row r="90" spans="2:27">
      <c r="B90" s="269" t="s">
        <v>848</v>
      </c>
      <c r="C90" s="269"/>
      <c r="H90" s="269" t="s">
        <v>849</v>
      </c>
      <c r="I90" s="269"/>
    </row>
    <row r="91" spans="2:27" ht="15.75">
      <c r="B91" s="142" t="s">
        <v>834</v>
      </c>
      <c r="C91" s="142" t="s">
        <v>837</v>
      </c>
      <c r="H91" s="142" t="s">
        <v>834</v>
      </c>
      <c r="I91" s="142" t="s">
        <v>837</v>
      </c>
    </row>
    <row r="92" spans="2:27">
      <c r="B92" s="115">
        <v>0</v>
      </c>
      <c r="C92" s="2">
        <v>0</v>
      </c>
      <c r="H92" s="115">
        <v>0</v>
      </c>
      <c r="I92" s="2">
        <v>0</v>
      </c>
    </row>
    <row r="93" spans="2:27" ht="14.65" thickBot="1">
      <c r="B93" s="115">
        <v>1</v>
      </c>
      <c r="C93" s="2">
        <v>0</v>
      </c>
      <c r="H93" s="115">
        <v>1</v>
      </c>
      <c r="I93" s="2">
        <v>0</v>
      </c>
    </row>
    <row r="94" spans="2:27" ht="14.25" customHeight="1" thickTop="1">
      <c r="B94" s="115">
        <v>2</v>
      </c>
      <c r="C94" s="2">
        <v>0</v>
      </c>
      <c r="H94" s="115">
        <v>2</v>
      </c>
      <c r="I94" s="2">
        <v>0</v>
      </c>
      <c r="O94" s="157" t="s">
        <v>334</v>
      </c>
      <c r="P94" s="272" t="s">
        <v>374</v>
      </c>
      <c r="Q94" s="272" t="s">
        <v>375</v>
      </c>
      <c r="R94" s="272" t="s">
        <v>376</v>
      </c>
      <c r="S94" s="272" t="s">
        <v>377</v>
      </c>
      <c r="T94" s="272" t="s">
        <v>352</v>
      </c>
      <c r="U94" s="272" t="s">
        <v>378</v>
      </c>
      <c r="V94" s="272" t="s">
        <v>379</v>
      </c>
      <c r="W94" s="272" t="s">
        <v>380</v>
      </c>
      <c r="X94" s="272" t="s">
        <v>381</v>
      </c>
      <c r="Y94" s="272" t="s">
        <v>382</v>
      </c>
      <c r="Z94" s="272" t="s">
        <v>383</v>
      </c>
      <c r="AA94" s="272" t="s">
        <v>384</v>
      </c>
    </row>
    <row r="95" spans="2:27" ht="16.149999999999999" customHeight="1" thickBot="1">
      <c r="B95" s="115">
        <v>3</v>
      </c>
      <c r="C95" s="2">
        <v>0</v>
      </c>
      <c r="H95" s="115">
        <v>3</v>
      </c>
      <c r="I95" s="2">
        <v>0</v>
      </c>
      <c r="O95" s="158" t="s">
        <v>875</v>
      </c>
      <c r="P95" s="273"/>
      <c r="Q95" s="273"/>
      <c r="R95" s="273"/>
      <c r="S95" s="273"/>
      <c r="T95" s="273"/>
      <c r="U95" s="273"/>
      <c r="V95" s="273"/>
      <c r="W95" s="273"/>
      <c r="X95" s="273"/>
      <c r="Y95" s="273"/>
      <c r="Z95" s="273"/>
      <c r="AA95" s="273"/>
    </row>
    <row r="96" spans="2:27" ht="14.65" thickTop="1">
      <c r="B96" s="115">
        <v>4</v>
      </c>
      <c r="C96" s="2">
        <v>0</v>
      </c>
      <c r="H96" s="115">
        <v>4</v>
      </c>
      <c r="I96" s="2">
        <v>0</v>
      </c>
      <c r="O96" s="154" t="s">
        <v>850</v>
      </c>
      <c r="P96" s="155"/>
      <c r="Q96" s="155"/>
      <c r="R96" s="155"/>
      <c r="S96" s="155"/>
      <c r="T96" s="155"/>
      <c r="U96" s="155"/>
      <c r="V96" s="155"/>
      <c r="W96" s="155"/>
      <c r="X96" s="155"/>
      <c r="Y96" s="155"/>
      <c r="Z96" s="155"/>
      <c r="AA96" s="155"/>
    </row>
    <row r="97" spans="2:27">
      <c r="B97" s="115">
        <v>5</v>
      </c>
      <c r="C97" s="2">
        <v>0</v>
      </c>
      <c r="H97" s="115">
        <v>5</v>
      </c>
      <c r="I97" s="2">
        <v>0</v>
      </c>
      <c r="O97" s="156" t="s">
        <v>851</v>
      </c>
      <c r="P97" s="155"/>
      <c r="Q97" s="155"/>
      <c r="R97" s="155"/>
      <c r="S97" s="155"/>
      <c r="T97" s="155"/>
      <c r="U97" s="155"/>
      <c r="V97" s="155"/>
      <c r="W97" s="155"/>
      <c r="X97" s="155"/>
      <c r="Y97" s="155"/>
      <c r="Z97" s="155"/>
      <c r="AA97" s="155"/>
    </row>
    <row r="98" spans="2:27">
      <c r="B98" s="115">
        <v>6</v>
      </c>
      <c r="C98" s="2">
        <v>106</v>
      </c>
      <c r="H98" s="115">
        <v>6</v>
      </c>
      <c r="I98" s="2">
        <v>63.7</v>
      </c>
      <c r="O98" s="156" t="s">
        <v>852</v>
      </c>
      <c r="P98" s="155"/>
      <c r="Q98" s="155"/>
      <c r="R98" s="155"/>
      <c r="S98" s="155"/>
      <c r="T98" s="155"/>
      <c r="U98" s="155"/>
      <c r="V98" s="155"/>
      <c r="W98" s="155"/>
      <c r="X98" s="155"/>
      <c r="Y98" s="155"/>
      <c r="Z98" s="155"/>
      <c r="AA98" s="155"/>
    </row>
    <row r="99" spans="2:27">
      <c r="B99" s="115">
        <v>7</v>
      </c>
      <c r="C99" s="2">
        <v>205.4</v>
      </c>
      <c r="H99" s="115">
        <v>7</v>
      </c>
      <c r="I99" s="2">
        <v>159.5</v>
      </c>
      <c r="O99" s="156" t="s">
        <v>853</v>
      </c>
      <c r="P99" s="155"/>
      <c r="Q99" s="155"/>
      <c r="R99" s="155"/>
      <c r="S99" s="155"/>
      <c r="T99" s="155"/>
      <c r="U99" s="155"/>
      <c r="V99" s="155"/>
      <c r="W99" s="155"/>
      <c r="X99" s="155"/>
      <c r="Y99" s="155"/>
      <c r="Z99" s="155"/>
      <c r="AA99" s="155"/>
    </row>
    <row r="100" spans="2:27">
      <c r="B100" s="115">
        <v>8</v>
      </c>
      <c r="C100" s="2">
        <v>248</v>
      </c>
      <c r="H100" s="115">
        <v>8</v>
      </c>
      <c r="I100" s="2">
        <v>207.1</v>
      </c>
      <c r="O100" s="156" t="s">
        <v>854</v>
      </c>
      <c r="P100" s="155"/>
      <c r="Q100" s="155"/>
      <c r="R100" s="155"/>
      <c r="S100" s="155"/>
      <c r="T100" s="155"/>
      <c r="U100" s="155"/>
      <c r="V100" s="155"/>
      <c r="W100" s="155"/>
      <c r="X100" s="155"/>
      <c r="Y100" s="155"/>
      <c r="Z100" s="155"/>
      <c r="AA100" s="155"/>
    </row>
    <row r="101" spans="2:27">
      <c r="B101" s="115">
        <v>9</v>
      </c>
      <c r="C101" s="2">
        <v>257.3</v>
      </c>
      <c r="H101" s="115">
        <v>9</v>
      </c>
      <c r="I101" s="2">
        <v>241.5</v>
      </c>
      <c r="O101" s="156" t="s">
        <v>855</v>
      </c>
      <c r="P101" s="155"/>
      <c r="Q101" s="155"/>
      <c r="R101" s="155"/>
      <c r="S101" s="155"/>
      <c r="T101" s="155"/>
      <c r="U101" s="155"/>
      <c r="V101" s="155"/>
      <c r="W101" s="155"/>
      <c r="X101" s="155"/>
      <c r="Y101" s="155"/>
      <c r="Z101" s="155"/>
      <c r="AA101" s="155"/>
    </row>
    <row r="102" spans="2:27">
      <c r="B102" s="115">
        <v>10</v>
      </c>
      <c r="C102" s="2">
        <v>245.2</v>
      </c>
      <c r="H102" s="115">
        <v>10</v>
      </c>
      <c r="I102" s="2">
        <v>254.2</v>
      </c>
      <c r="O102" s="156" t="s">
        <v>856</v>
      </c>
      <c r="P102" s="155">
        <v>21.4</v>
      </c>
      <c r="Q102" s="155">
        <v>23.1</v>
      </c>
      <c r="R102" s="155">
        <v>29</v>
      </c>
      <c r="S102" s="155">
        <v>55.5</v>
      </c>
      <c r="T102" s="155">
        <v>83.6</v>
      </c>
      <c r="U102" s="155">
        <v>58.4</v>
      </c>
      <c r="V102" s="155">
        <v>34.200000000000003</v>
      </c>
      <c r="W102" s="155">
        <v>33.1</v>
      </c>
      <c r="X102" s="155">
        <v>66.5</v>
      </c>
      <c r="Y102" s="155">
        <v>83.1</v>
      </c>
      <c r="Z102" s="155">
        <v>106</v>
      </c>
      <c r="AA102" s="155">
        <v>63.7</v>
      </c>
    </row>
    <row r="103" spans="2:27">
      <c r="B103" s="115">
        <v>11</v>
      </c>
      <c r="C103" s="2">
        <v>241.9</v>
      </c>
      <c r="H103" s="115">
        <v>11</v>
      </c>
      <c r="I103" s="2">
        <v>255.9</v>
      </c>
      <c r="O103" s="156" t="s">
        <v>857</v>
      </c>
      <c r="P103" s="155">
        <v>131.80000000000001</v>
      </c>
      <c r="Q103" s="155">
        <v>157.69999999999999</v>
      </c>
      <c r="R103" s="155">
        <v>175.7</v>
      </c>
      <c r="S103" s="155">
        <v>209.1</v>
      </c>
      <c r="T103" s="155">
        <v>224.3</v>
      </c>
      <c r="U103" s="155">
        <v>211.4</v>
      </c>
      <c r="V103" s="155">
        <v>202.1</v>
      </c>
      <c r="W103" s="155">
        <v>198.4</v>
      </c>
      <c r="X103" s="155">
        <v>191.6</v>
      </c>
      <c r="Y103" s="155">
        <v>188.4</v>
      </c>
      <c r="Z103" s="155">
        <v>205.4</v>
      </c>
      <c r="AA103" s="155">
        <v>159.5</v>
      </c>
    </row>
    <row r="104" spans="2:27">
      <c r="B104" s="115">
        <v>12</v>
      </c>
      <c r="C104" s="2">
        <v>235.8</v>
      </c>
      <c r="H104" s="115">
        <v>12</v>
      </c>
      <c r="I104" s="2">
        <v>251.3</v>
      </c>
      <c r="O104" s="156" t="s">
        <v>858</v>
      </c>
      <c r="P104" s="155">
        <v>190.4</v>
      </c>
      <c r="Q104" s="155">
        <v>227.1</v>
      </c>
      <c r="R104" s="155">
        <v>249.4</v>
      </c>
      <c r="S104" s="155">
        <v>278.60000000000002</v>
      </c>
      <c r="T104" s="155">
        <v>283.3</v>
      </c>
      <c r="U104" s="155">
        <v>253.1</v>
      </c>
      <c r="V104" s="155">
        <v>258.89999999999998</v>
      </c>
      <c r="W104" s="155">
        <v>260.5</v>
      </c>
      <c r="X104" s="155">
        <v>248.9</v>
      </c>
      <c r="Y104" s="155">
        <v>243.2</v>
      </c>
      <c r="Z104" s="155">
        <v>248</v>
      </c>
      <c r="AA104" s="155">
        <v>207.1</v>
      </c>
    </row>
    <row r="105" spans="2:27">
      <c r="B105" s="115">
        <v>13</v>
      </c>
      <c r="C105" s="2">
        <v>224.7</v>
      </c>
      <c r="H105" s="115">
        <v>13</v>
      </c>
      <c r="I105" s="2">
        <v>240</v>
      </c>
      <c r="O105" s="156" t="s">
        <v>859</v>
      </c>
      <c r="P105" s="155">
        <v>229.3</v>
      </c>
      <c r="Q105" s="155">
        <v>270.5</v>
      </c>
      <c r="R105" s="155">
        <v>273.89999999999998</v>
      </c>
      <c r="S105" s="155">
        <v>296.10000000000002</v>
      </c>
      <c r="T105" s="155">
        <v>289.39999999999998</v>
      </c>
      <c r="U105" s="155">
        <v>262.2</v>
      </c>
      <c r="V105" s="155">
        <v>252.9</v>
      </c>
      <c r="W105" s="155">
        <v>242.9</v>
      </c>
      <c r="X105" s="155">
        <v>237.6</v>
      </c>
      <c r="Y105" s="155">
        <v>259.8</v>
      </c>
      <c r="Z105" s="155">
        <v>257.3</v>
      </c>
      <c r="AA105" s="155">
        <v>241.5</v>
      </c>
    </row>
    <row r="106" spans="2:27">
      <c r="B106" s="115">
        <v>14</v>
      </c>
      <c r="C106" s="2">
        <v>215.2</v>
      </c>
      <c r="H106" s="115">
        <v>14</v>
      </c>
      <c r="I106" s="2">
        <v>228</v>
      </c>
      <c r="O106" s="156" t="s">
        <v>860</v>
      </c>
      <c r="P106" s="155">
        <v>243.8</v>
      </c>
      <c r="Q106" s="155">
        <v>270.60000000000002</v>
      </c>
      <c r="R106" s="155">
        <v>260.8</v>
      </c>
      <c r="S106" s="155">
        <v>296.8</v>
      </c>
      <c r="T106" s="155">
        <v>282.8</v>
      </c>
      <c r="U106" s="155">
        <v>260.2</v>
      </c>
      <c r="V106" s="155">
        <v>241.5</v>
      </c>
      <c r="W106" s="155">
        <v>228.4</v>
      </c>
      <c r="X106" s="155">
        <v>236.6</v>
      </c>
      <c r="Y106" s="155">
        <v>260.39999999999998</v>
      </c>
      <c r="Z106" s="155">
        <v>245.2</v>
      </c>
      <c r="AA106" s="155">
        <v>254.2</v>
      </c>
    </row>
    <row r="107" spans="2:27">
      <c r="B107" s="115">
        <v>15</v>
      </c>
      <c r="C107" s="2">
        <v>200</v>
      </c>
      <c r="H107" s="115">
        <v>15</v>
      </c>
      <c r="I107" s="2">
        <v>201.6</v>
      </c>
      <c r="O107" s="156" t="s">
        <v>861</v>
      </c>
      <c r="P107" s="155">
        <v>236.3</v>
      </c>
      <c r="Q107" s="155">
        <v>271.3</v>
      </c>
      <c r="R107" s="155">
        <v>266.10000000000002</v>
      </c>
      <c r="S107" s="155">
        <v>313</v>
      </c>
      <c r="T107" s="155">
        <v>286.60000000000002</v>
      </c>
      <c r="U107" s="155">
        <v>259.7</v>
      </c>
      <c r="V107" s="155">
        <v>261.7</v>
      </c>
      <c r="W107" s="155">
        <v>234.3</v>
      </c>
      <c r="X107" s="155">
        <v>262.60000000000002</v>
      </c>
      <c r="Y107" s="155">
        <v>258.5</v>
      </c>
      <c r="Z107" s="155">
        <v>241.9</v>
      </c>
      <c r="AA107" s="155">
        <v>255.9</v>
      </c>
    </row>
    <row r="108" spans="2:27">
      <c r="B108" s="115">
        <v>16</v>
      </c>
      <c r="C108" s="2">
        <v>177.9</v>
      </c>
      <c r="H108" s="115">
        <v>16</v>
      </c>
      <c r="I108" s="2">
        <v>170.7</v>
      </c>
      <c r="O108" s="156" t="s">
        <v>862</v>
      </c>
      <c r="P108" s="155">
        <v>246.9</v>
      </c>
      <c r="Q108" s="155">
        <v>252.6</v>
      </c>
      <c r="R108" s="155">
        <v>250</v>
      </c>
      <c r="S108" s="155">
        <v>275.5</v>
      </c>
      <c r="T108" s="155">
        <v>270.5</v>
      </c>
      <c r="U108" s="155">
        <v>269.10000000000002</v>
      </c>
      <c r="V108" s="155">
        <v>267</v>
      </c>
      <c r="W108" s="155">
        <v>228</v>
      </c>
      <c r="X108" s="155">
        <v>258.10000000000002</v>
      </c>
      <c r="Y108" s="155">
        <v>236.6</v>
      </c>
      <c r="Z108" s="155">
        <v>235.8</v>
      </c>
      <c r="AA108" s="155">
        <v>251.3</v>
      </c>
    </row>
    <row r="109" spans="2:27">
      <c r="B109" s="115">
        <v>17</v>
      </c>
      <c r="C109" s="2">
        <v>68.599999999999994</v>
      </c>
      <c r="H109" s="115">
        <v>17</v>
      </c>
      <c r="I109" s="2">
        <v>93.6</v>
      </c>
      <c r="O109" s="156" t="s">
        <v>863</v>
      </c>
      <c r="P109" s="155">
        <v>242</v>
      </c>
      <c r="Q109" s="155">
        <v>254.1</v>
      </c>
      <c r="R109" s="155">
        <v>288.8</v>
      </c>
      <c r="S109" s="155">
        <v>259.10000000000002</v>
      </c>
      <c r="T109" s="155">
        <v>266.10000000000002</v>
      </c>
      <c r="U109" s="155">
        <v>243.3</v>
      </c>
      <c r="V109" s="155">
        <v>258.5</v>
      </c>
      <c r="W109" s="155">
        <v>230.9</v>
      </c>
      <c r="X109" s="155">
        <v>279.60000000000002</v>
      </c>
      <c r="Y109" s="155">
        <v>251.9</v>
      </c>
      <c r="Z109" s="155">
        <v>224.7</v>
      </c>
      <c r="AA109" s="155">
        <v>240</v>
      </c>
    </row>
    <row r="110" spans="2:27">
      <c r="B110" s="115">
        <v>18</v>
      </c>
      <c r="C110" s="2">
        <v>0</v>
      </c>
      <c r="H110" s="115">
        <v>18</v>
      </c>
      <c r="I110" s="2">
        <v>0</v>
      </c>
      <c r="O110" s="156" t="s">
        <v>864</v>
      </c>
      <c r="P110" s="155">
        <v>240.5</v>
      </c>
      <c r="Q110" s="155">
        <v>283</v>
      </c>
      <c r="R110" s="155">
        <v>285</v>
      </c>
      <c r="S110" s="155">
        <v>266.7</v>
      </c>
      <c r="T110" s="155">
        <v>246</v>
      </c>
      <c r="U110" s="155">
        <v>220.1</v>
      </c>
      <c r="V110" s="155">
        <v>248.8</v>
      </c>
      <c r="W110" s="155">
        <v>239.2</v>
      </c>
      <c r="X110" s="155">
        <v>261.2</v>
      </c>
      <c r="Y110" s="155">
        <v>245.3</v>
      </c>
      <c r="Z110" s="155">
        <v>215.2</v>
      </c>
      <c r="AA110" s="155">
        <v>228</v>
      </c>
    </row>
    <row r="111" spans="2:27">
      <c r="B111" s="115">
        <v>19</v>
      </c>
      <c r="C111" s="2">
        <v>0</v>
      </c>
      <c r="H111" s="115">
        <v>19</v>
      </c>
      <c r="I111" s="2">
        <v>0</v>
      </c>
      <c r="O111" s="156" t="s">
        <v>865</v>
      </c>
      <c r="P111" s="155">
        <v>210.9</v>
      </c>
      <c r="Q111" s="155">
        <v>269.8</v>
      </c>
      <c r="R111" s="155">
        <v>274.8</v>
      </c>
      <c r="S111" s="155">
        <v>250</v>
      </c>
      <c r="T111" s="155">
        <v>224</v>
      </c>
      <c r="U111" s="155">
        <v>204.8</v>
      </c>
      <c r="V111" s="155">
        <v>231.9</v>
      </c>
      <c r="W111" s="155">
        <v>248.3</v>
      </c>
      <c r="X111" s="155">
        <v>240.7</v>
      </c>
      <c r="Y111" s="155">
        <v>211.3</v>
      </c>
      <c r="Z111" s="155">
        <v>200</v>
      </c>
      <c r="AA111" s="155">
        <v>201.6</v>
      </c>
    </row>
    <row r="112" spans="2:27">
      <c r="B112" s="115">
        <v>20</v>
      </c>
      <c r="C112" s="2">
        <v>0</v>
      </c>
      <c r="H112" s="115">
        <v>20</v>
      </c>
      <c r="I112" s="2">
        <v>0</v>
      </c>
      <c r="O112" s="156" t="s">
        <v>866</v>
      </c>
      <c r="P112" s="155">
        <v>173.1</v>
      </c>
      <c r="Q112" s="155">
        <v>212.4</v>
      </c>
      <c r="R112" s="155">
        <v>227.2</v>
      </c>
      <c r="S112" s="155">
        <v>218.5</v>
      </c>
      <c r="T112" s="155">
        <v>205.8</v>
      </c>
      <c r="U112" s="155">
        <v>192.5</v>
      </c>
      <c r="V112" s="155">
        <v>213.9</v>
      </c>
      <c r="W112" s="155">
        <v>229.2</v>
      </c>
      <c r="X112" s="155">
        <v>192</v>
      </c>
      <c r="Y112" s="155">
        <v>172.2</v>
      </c>
      <c r="Z112" s="155">
        <v>177.9</v>
      </c>
      <c r="AA112" s="155">
        <v>170.7</v>
      </c>
    </row>
    <row r="113" spans="2:29">
      <c r="B113" s="115">
        <v>21</v>
      </c>
      <c r="C113" s="2">
        <v>0</v>
      </c>
      <c r="H113" s="115">
        <v>21</v>
      </c>
      <c r="I113" s="2">
        <v>0</v>
      </c>
      <c r="O113" s="156" t="s">
        <v>868</v>
      </c>
      <c r="P113" s="155">
        <v>119.2</v>
      </c>
      <c r="Q113" s="155">
        <v>148.5</v>
      </c>
      <c r="R113" s="155">
        <v>130.19999999999999</v>
      </c>
      <c r="S113" s="155">
        <v>88.1</v>
      </c>
      <c r="T113" s="155">
        <v>89.4</v>
      </c>
      <c r="U113" s="155">
        <v>80.8</v>
      </c>
      <c r="V113" s="155">
        <v>128.5</v>
      </c>
      <c r="W113" s="155">
        <v>132.4</v>
      </c>
      <c r="X113" s="155">
        <v>69.599999999999994</v>
      </c>
      <c r="Y113" s="155">
        <v>58.3</v>
      </c>
      <c r="Z113" s="155">
        <v>68.599999999999994</v>
      </c>
      <c r="AA113" s="155">
        <v>93.6</v>
      </c>
    </row>
    <row r="114" spans="2:29">
      <c r="B114" s="115">
        <v>22</v>
      </c>
      <c r="C114" s="2">
        <v>0</v>
      </c>
      <c r="H114" s="115">
        <v>22</v>
      </c>
      <c r="I114" s="2">
        <v>0</v>
      </c>
      <c r="O114" s="156" t="s">
        <v>867</v>
      </c>
      <c r="P114" s="155"/>
      <c r="Q114" s="155"/>
      <c r="R114" s="155"/>
      <c r="S114" s="155"/>
      <c r="T114" s="155"/>
      <c r="U114" s="155"/>
      <c r="V114" s="155"/>
      <c r="W114" s="155"/>
      <c r="X114" s="155"/>
      <c r="Y114" s="155"/>
      <c r="Z114" s="155"/>
      <c r="AA114" s="155"/>
    </row>
    <row r="115" spans="2:29">
      <c r="B115" s="115">
        <v>23</v>
      </c>
      <c r="C115" s="2">
        <v>0</v>
      </c>
      <c r="H115" s="115">
        <v>23</v>
      </c>
      <c r="I115" s="2">
        <v>0</v>
      </c>
      <c r="O115" s="156" t="s">
        <v>869</v>
      </c>
      <c r="P115" s="155"/>
      <c r="Q115" s="155"/>
      <c r="R115" s="155"/>
      <c r="S115" s="155"/>
      <c r="T115" s="155"/>
      <c r="U115" s="155"/>
      <c r="V115" s="155"/>
      <c r="W115" s="155"/>
      <c r="X115" s="155"/>
      <c r="Y115" s="155"/>
      <c r="Z115" s="155"/>
      <c r="AA115" s="155"/>
    </row>
    <row r="116" spans="2:29">
      <c r="O116" s="156" t="s">
        <v>870</v>
      </c>
      <c r="P116" s="155"/>
      <c r="Q116" s="155"/>
      <c r="R116" s="155"/>
      <c r="S116" s="155"/>
      <c r="T116" s="155"/>
      <c r="U116" s="155"/>
      <c r="V116" s="155"/>
      <c r="W116" s="155"/>
      <c r="X116" s="155"/>
      <c r="Y116" s="155"/>
      <c r="Z116" s="155"/>
      <c r="AA116" s="155"/>
    </row>
    <row r="117" spans="2:29">
      <c r="O117" s="156" t="s">
        <v>871</v>
      </c>
      <c r="P117" s="155"/>
      <c r="Q117" s="155"/>
      <c r="R117" s="155"/>
      <c r="S117" s="155"/>
      <c r="T117" s="155"/>
      <c r="U117" s="155"/>
      <c r="V117" s="155"/>
      <c r="W117" s="155"/>
      <c r="X117" s="155"/>
      <c r="Y117" s="155"/>
      <c r="Z117" s="155"/>
      <c r="AA117" s="155"/>
    </row>
    <row r="118" spans="2:29">
      <c r="O118" s="156" t="s">
        <v>872</v>
      </c>
      <c r="P118" s="155"/>
      <c r="Q118" s="155"/>
      <c r="R118" s="155"/>
      <c r="S118" s="155"/>
      <c r="T118" s="155"/>
      <c r="U118" s="155"/>
      <c r="V118" s="155"/>
      <c r="W118" s="155"/>
      <c r="X118" s="155"/>
      <c r="Y118" s="155"/>
      <c r="Z118" s="155"/>
      <c r="AA118" s="155"/>
    </row>
    <row r="119" spans="2:29" ht="14.65" thickBot="1">
      <c r="O119" s="156" t="s">
        <v>873</v>
      </c>
      <c r="P119" s="155"/>
      <c r="Q119" s="155"/>
      <c r="R119" s="155"/>
      <c r="S119" s="155"/>
      <c r="T119" s="155"/>
      <c r="U119" s="155"/>
      <c r="V119" s="155"/>
      <c r="W119" s="155"/>
      <c r="X119" s="155"/>
      <c r="Y119" s="155"/>
      <c r="Z119" s="155"/>
      <c r="AA119" s="155"/>
    </row>
    <row r="120" spans="2:29" ht="15" thickTop="1" thickBot="1">
      <c r="O120" s="159" t="s">
        <v>874</v>
      </c>
      <c r="P120" s="160">
        <f>SUM(P102:P113)</f>
        <v>2285.6</v>
      </c>
      <c r="Q120" s="160">
        <f t="shared" ref="Q120:AA120" si="0">SUM(Q102:Q113)</f>
        <v>2640.7</v>
      </c>
      <c r="R120" s="160">
        <f t="shared" si="0"/>
        <v>2710.8999999999996</v>
      </c>
      <c r="S120" s="160">
        <f t="shared" si="0"/>
        <v>2807</v>
      </c>
      <c r="T120" s="160">
        <f t="shared" si="0"/>
        <v>2751.8</v>
      </c>
      <c r="U120" s="160">
        <f t="shared" si="0"/>
        <v>2515.6</v>
      </c>
      <c r="V120" s="160">
        <f t="shared" si="0"/>
        <v>2599.9</v>
      </c>
      <c r="W120" s="160">
        <f t="shared" si="0"/>
        <v>2505.6</v>
      </c>
      <c r="X120" s="160">
        <f t="shared" si="0"/>
        <v>2545</v>
      </c>
      <c r="Y120" s="160">
        <f t="shared" si="0"/>
        <v>2469</v>
      </c>
      <c r="Z120" s="160">
        <f t="shared" si="0"/>
        <v>2426</v>
      </c>
      <c r="AA120" s="160">
        <f t="shared" si="0"/>
        <v>2367.1</v>
      </c>
      <c r="AC120" s="67"/>
    </row>
    <row r="121" spans="2:29" ht="14.65" thickTop="1">
      <c r="Q121" s="3"/>
    </row>
  </sheetData>
  <mergeCells count="28">
    <mergeCell ref="Y94:Y95"/>
    <mergeCell ref="Z94:Z95"/>
    <mergeCell ref="AA94:AA95"/>
    <mergeCell ref="T94:T95"/>
    <mergeCell ref="U94:U95"/>
    <mergeCell ref="V94:V95"/>
    <mergeCell ref="W94:W95"/>
    <mergeCell ref="X94:X95"/>
    <mergeCell ref="P94:P95"/>
    <mergeCell ref="Q94:Q95"/>
    <mergeCell ref="R94:R95"/>
    <mergeCell ref="S94:S95"/>
    <mergeCell ref="N6:O6"/>
    <mergeCell ref="F3:H4"/>
    <mergeCell ref="I3:I4"/>
    <mergeCell ref="J3:J4"/>
    <mergeCell ref="T6:U6"/>
    <mergeCell ref="B90:C90"/>
    <mergeCell ref="H90:I90"/>
    <mergeCell ref="N35:O35"/>
    <mergeCell ref="T35:U35"/>
    <mergeCell ref="B62:C62"/>
    <mergeCell ref="H62:I62"/>
    <mergeCell ref="N62:O62"/>
    <mergeCell ref="T62:U62"/>
    <mergeCell ref="B35:C35"/>
    <mergeCell ref="B6:C6"/>
    <mergeCell ref="H6:I6"/>
  </mergeCells>
  <conditionalFormatting sqref="P102:AA113">
    <cfRule type="colorScale" priority="1">
      <colorScale>
        <cfvo type="min"/>
        <cfvo type="percentile" val="50"/>
        <cfvo type="max"/>
        <color rgb="FF63BE7B"/>
        <color rgb="FFFFEB84"/>
        <color rgb="FFF8696B"/>
      </colorScale>
    </cfRule>
  </conditionalFormatting>
  <hyperlinks>
    <hyperlink ref="C3" r:id="rId1" xr:uid="{C5015E87-184F-433D-B684-79E5800FFE7F}"/>
  </hyperlinks>
  <pageMargins left="0.7" right="0.7" top="0.75" bottom="0.75" header="0.3" footer="0.3"/>
  <pageSetup orientation="portrait" r:id="rId2"/>
  <drawing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2A7A2A-1357-4554-A298-F27EFD50F0D5}">
  <dimension ref="B2:R1611"/>
  <sheetViews>
    <sheetView workbookViewId="0">
      <selection activeCell="G4" sqref="G4"/>
    </sheetView>
  </sheetViews>
  <sheetFormatPr defaultRowHeight="14.25"/>
  <cols>
    <col min="2" max="2" width="9.19921875" bestFit="1" customWidth="1"/>
    <col min="7" max="7" width="9.19921875" bestFit="1" customWidth="1"/>
  </cols>
  <sheetData>
    <row r="2" spans="2:18">
      <c r="B2" t="s">
        <v>881</v>
      </c>
      <c r="G2" t="s">
        <v>885</v>
      </c>
      <c r="K2" t="s">
        <v>887</v>
      </c>
      <c r="O2" t="s">
        <v>827</v>
      </c>
    </row>
    <row r="3" spans="2:18">
      <c r="B3" s="67" t="s">
        <v>882</v>
      </c>
      <c r="C3" s="67" t="s">
        <v>883</v>
      </c>
      <c r="D3" s="67" t="s">
        <v>884</v>
      </c>
      <c r="G3" s="67" t="s">
        <v>882</v>
      </c>
      <c r="H3" s="67" t="s">
        <v>830</v>
      </c>
      <c r="I3" s="67" t="s">
        <v>886</v>
      </c>
      <c r="K3" s="67" t="s">
        <v>882</v>
      </c>
      <c r="L3" s="67" t="s">
        <v>830</v>
      </c>
      <c r="M3" s="67" t="s">
        <v>886</v>
      </c>
      <c r="O3" s="67" t="s">
        <v>882</v>
      </c>
      <c r="P3" s="67" t="s">
        <v>830</v>
      </c>
      <c r="Q3" s="67" t="s">
        <v>889</v>
      </c>
      <c r="R3">
        <v>100</v>
      </c>
    </row>
    <row r="4" spans="2:18">
      <c r="B4" s="144">
        <v>42005</v>
      </c>
      <c r="C4" s="139">
        <v>0</v>
      </c>
      <c r="D4">
        <v>0</v>
      </c>
      <c r="G4" s="144">
        <v>42005</v>
      </c>
      <c r="H4" s="139">
        <v>0.41666666666666669</v>
      </c>
      <c r="I4" s="145">
        <v>26.9</v>
      </c>
      <c r="K4" s="144">
        <v>42005</v>
      </c>
      <c r="L4" s="139">
        <v>0.41666666666666669</v>
      </c>
      <c r="M4">
        <v>1.028</v>
      </c>
      <c r="O4" s="144">
        <v>42005</v>
      </c>
      <c r="P4" s="139">
        <v>0.41666666666666669</v>
      </c>
      <c r="Q4">
        <v>46</v>
      </c>
      <c r="R4">
        <f>Q4/$R$3</f>
        <v>0.46</v>
      </c>
    </row>
    <row r="5" spans="2:18">
      <c r="B5" s="144">
        <v>42005</v>
      </c>
      <c r="C5" s="139">
        <v>4.1666666666666664E-2</v>
      </c>
      <c r="D5">
        <v>0</v>
      </c>
      <c r="G5" s="144">
        <v>42036</v>
      </c>
      <c r="H5" s="139">
        <v>0.41666666666666669</v>
      </c>
      <c r="I5" s="145">
        <v>27</v>
      </c>
      <c r="K5" s="144">
        <v>42036</v>
      </c>
      <c r="L5" s="139">
        <v>0.41666666666666669</v>
      </c>
      <c r="M5">
        <v>1.028</v>
      </c>
      <c r="O5" s="144">
        <v>42036</v>
      </c>
      <c r="P5" s="139">
        <v>0.41666666666666669</v>
      </c>
      <c r="Q5">
        <v>42</v>
      </c>
      <c r="R5" s="3">
        <f t="shared" ref="R5:R68" si="0">Q5/$R$3</f>
        <v>0.42</v>
      </c>
    </row>
    <row r="6" spans="2:18">
      <c r="B6" s="144">
        <v>42005</v>
      </c>
      <c r="C6" s="139">
        <v>8.3333333333333301E-2</v>
      </c>
      <c r="D6">
        <v>0</v>
      </c>
      <c r="G6" s="144">
        <v>42064</v>
      </c>
      <c r="H6" s="139">
        <v>0.41666666666666702</v>
      </c>
      <c r="I6" s="145">
        <v>27.5</v>
      </c>
      <c r="K6" s="144">
        <v>42064</v>
      </c>
      <c r="L6" s="139">
        <v>0.41666666666666702</v>
      </c>
      <c r="M6">
        <v>1.542</v>
      </c>
      <c r="O6" s="144">
        <v>42064</v>
      </c>
      <c r="P6" s="139">
        <v>0.41666666666666702</v>
      </c>
      <c r="Q6">
        <v>44</v>
      </c>
      <c r="R6" s="3">
        <f t="shared" si="0"/>
        <v>0.44</v>
      </c>
    </row>
    <row r="7" spans="2:18">
      <c r="B7" s="144">
        <v>42005</v>
      </c>
      <c r="C7" s="139">
        <v>0.125</v>
      </c>
      <c r="D7">
        <v>0</v>
      </c>
      <c r="G7" s="144">
        <v>42095</v>
      </c>
      <c r="H7" s="139">
        <v>0.41666666666666702</v>
      </c>
      <c r="I7" s="145">
        <v>27.8</v>
      </c>
      <c r="K7" s="144">
        <v>42095</v>
      </c>
      <c r="L7" s="139">
        <v>0.41666666666666702</v>
      </c>
      <c r="M7">
        <v>2.056</v>
      </c>
      <c r="O7" s="144">
        <v>42095</v>
      </c>
      <c r="P7" s="139">
        <v>0.41666666666666702</v>
      </c>
      <c r="Q7">
        <v>38</v>
      </c>
      <c r="R7" s="3">
        <f t="shared" si="0"/>
        <v>0.38</v>
      </c>
    </row>
    <row r="8" spans="2:18">
      <c r="B8" s="144">
        <v>42005</v>
      </c>
      <c r="C8" s="139">
        <v>0.16666666666666699</v>
      </c>
      <c r="D8">
        <v>0</v>
      </c>
      <c r="G8" s="144">
        <v>42125</v>
      </c>
      <c r="H8" s="139">
        <v>0.41666666666666702</v>
      </c>
      <c r="I8" s="145">
        <v>27.8</v>
      </c>
      <c r="K8" s="144">
        <v>42125</v>
      </c>
      <c r="L8" s="139">
        <v>0.41666666666666702</v>
      </c>
      <c r="M8">
        <v>1.542</v>
      </c>
      <c r="O8" s="144">
        <v>42125</v>
      </c>
      <c r="P8" s="139">
        <v>0.41666666666666702</v>
      </c>
      <c r="Q8">
        <v>33</v>
      </c>
      <c r="R8" s="3">
        <f t="shared" si="0"/>
        <v>0.33</v>
      </c>
    </row>
    <row r="9" spans="2:18">
      <c r="B9" s="144">
        <v>42005</v>
      </c>
      <c r="C9" s="139">
        <v>0.20833333333333301</v>
      </c>
      <c r="D9">
        <v>0</v>
      </c>
      <c r="G9" s="144">
        <v>42156</v>
      </c>
      <c r="H9" s="139">
        <v>0.41666666666666702</v>
      </c>
      <c r="I9" s="145">
        <v>27.5</v>
      </c>
      <c r="K9" s="144">
        <v>42156</v>
      </c>
      <c r="L9" s="139">
        <v>0.41666666666666702</v>
      </c>
      <c r="M9">
        <v>2.056</v>
      </c>
      <c r="O9" s="144">
        <v>42156</v>
      </c>
      <c r="P9" s="139">
        <v>0.41666666666666702</v>
      </c>
      <c r="Q9">
        <v>41</v>
      </c>
      <c r="R9" s="3">
        <f t="shared" si="0"/>
        <v>0.41</v>
      </c>
    </row>
    <row r="10" spans="2:18">
      <c r="B10" s="144">
        <v>42005</v>
      </c>
      <c r="C10" s="139">
        <v>0.25</v>
      </c>
      <c r="D10">
        <v>21.4</v>
      </c>
      <c r="G10" s="144">
        <v>42186</v>
      </c>
      <c r="H10" s="139">
        <v>0.41666666666666702</v>
      </c>
      <c r="I10" s="145">
        <v>27.5</v>
      </c>
      <c r="K10" s="144">
        <v>42186</v>
      </c>
      <c r="L10" s="139">
        <v>0.41666666666666702</v>
      </c>
      <c r="M10">
        <v>2.056</v>
      </c>
      <c r="O10" s="144">
        <v>42186</v>
      </c>
      <c r="P10" s="139">
        <v>0.41666666666666702</v>
      </c>
      <c r="Q10">
        <v>24</v>
      </c>
      <c r="R10" s="3">
        <f t="shared" si="0"/>
        <v>0.24</v>
      </c>
    </row>
    <row r="11" spans="2:18">
      <c r="B11" s="144">
        <v>42005</v>
      </c>
      <c r="C11" s="139">
        <v>0.29166666666666702</v>
      </c>
      <c r="D11">
        <v>131.80000000000001</v>
      </c>
      <c r="G11" s="144">
        <v>42217</v>
      </c>
      <c r="H11" s="139">
        <v>0.41666666666666702</v>
      </c>
      <c r="I11" s="145">
        <v>28</v>
      </c>
      <c r="K11" s="144">
        <v>42217</v>
      </c>
      <c r="L11" s="139">
        <v>0.41666666666666702</v>
      </c>
      <c r="M11">
        <v>2.5700000000000003</v>
      </c>
      <c r="O11" s="144">
        <v>42217</v>
      </c>
      <c r="P11" s="139">
        <v>0.41666666666666702</v>
      </c>
      <c r="Q11">
        <v>23</v>
      </c>
      <c r="R11" s="3">
        <f t="shared" si="0"/>
        <v>0.23</v>
      </c>
    </row>
    <row r="12" spans="2:18">
      <c r="B12" s="144">
        <v>42005</v>
      </c>
      <c r="C12" s="139">
        <v>0.33333333333333298</v>
      </c>
      <c r="D12">
        <v>190.4</v>
      </c>
      <c r="G12" s="144">
        <v>42248</v>
      </c>
      <c r="H12" s="139">
        <v>0.41666666666666702</v>
      </c>
      <c r="I12" s="145">
        <v>28.5</v>
      </c>
      <c r="K12" s="144">
        <v>42248</v>
      </c>
      <c r="L12" s="139">
        <v>0.41666666666666702</v>
      </c>
      <c r="M12">
        <v>2.5700000000000003</v>
      </c>
      <c r="O12" s="144">
        <v>42248</v>
      </c>
      <c r="P12" s="139">
        <v>0.41666666666666702</v>
      </c>
      <c r="Q12">
        <v>25</v>
      </c>
      <c r="R12" s="3">
        <f t="shared" si="0"/>
        <v>0.25</v>
      </c>
    </row>
    <row r="13" spans="2:18">
      <c r="B13" s="144">
        <v>42005</v>
      </c>
      <c r="C13" s="139">
        <v>0.375</v>
      </c>
      <c r="D13">
        <v>229.3</v>
      </c>
      <c r="G13" s="144">
        <v>42278</v>
      </c>
      <c r="H13" s="139">
        <v>0.41666666666666702</v>
      </c>
      <c r="I13" s="145">
        <v>28.9</v>
      </c>
      <c r="K13" s="144">
        <v>42278</v>
      </c>
      <c r="L13" s="139">
        <v>0.41666666666666702</v>
      </c>
      <c r="M13">
        <v>2.6214</v>
      </c>
      <c r="O13" s="144">
        <v>42278</v>
      </c>
      <c r="P13" s="139">
        <v>0.41666666666666702</v>
      </c>
      <c r="Q13">
        <v>21</v>
      </c>
      <c r="R13" s="3">
        <f t="shared" si="0"/>
        <v>0.21</v>
      </c>
    </row>
    <row r="14" spans="2:18">
      <c r="B14" s="144">
        <v>42005</v>
      </c>
      <c r="C14" s="139">
        <v>0.41666666666666702</v>
      </c>
      <c r="D14">
        <v>243.8</v>
      </c>
      <c r="G14" s="144">
        <v>42309</v>
      </c>
      <c r="H14" s="139">
        <v>0.41666666666666702</v>
      </c>
      <c r="I14" s="145">
        <v>28.4</v>
      </c>
      <c r="K14" s="144">
        <v>42309</v>
      </c>
      <c r="L14" s="139">
        <v>0.41666666666666702</v>
      </c>
      <c r="M14">
        <v>1.9532</v>
      </c>
      <c r="O14" s="144">
        <v>42309</v>
      </c>
      <c r="P14" s="139">
        <v>0.41666666666666702</v>
      </c>
      <c r="Q14">
        <v>31</v>
      </c>
      <c r="R14" s="3">
        <f t="shared" si="0"/>
        <v>0.31</v>
      </c>
    </row>
    <row r="15" spans="2:18">
      <c r="B15" s="144">
        <v>42005</v>
      </c>
      <c r="C15" s="139">
        <v>0.45833333333333298</v>
      </c>
      <c r="D15">
        <v>236.3</v>
      </c>
      <c r="G15" s="144">
        <v>42339</v>
      </c>
      <c r="H15" s="139">
        <v>0.41666666666666702</v>
      </c>
      <c r="I15" s="145">
        <v>28.6</v>
      </c>
      <c r="K15" s="144">
        <v>42339</v>
      </c>
      <c r="L15" s="139">
        <v>0.41666666666666702</v>
      </c>
      <c r="M15">
        <v>2.3643999999999998</v>
      </c>
      <c r="O15" s="144">
        <v>42339</v>
      </c>
      <c r="P15" s="139">
        <v>0.41666666666666702</v>
      </c>
      <c r="Q15">
        <v>37</v>
      </c>
      <c r="R15" s="3">
        <f t="shared" si="0"/>
        <v>0.37</v>
      </c>
    </row>
    <row r="16" spans="2:18">
      <c r="B16" s="144">
        <v>42005</v>
      </c>
      <c r="C16" s="139">
        <v>0.5</v>
      </c>
      <c r="D16">
        <v>246.9</v>
      </c>
      <c r="G16" s="144">
        <v>42370</v>
      </c>
      <c r="H16" s="139">
        <v>0.41666666666666702</v>
      </c>
      <c r="I16">
        <v>28.7</v>
      </c>
      <c r="K16" s="144">
        <v>42370</v>
      </c>
      <c r="L16" s="139">
        <v>0.41666666666666702</v>
      </c>
      <c r="M16">
        <v>3.0840000000000001</v>
      </c>
      <c r="O16" s="144">
        <v>42370</v>
      </c>
      <c r="P16" s="139">
        <v>0.41666666666666702</v>
      </c>
      <c r="Q16">
        <v>35</v>
      </c>
      <c r="R16" s="3">
        <f t="shared" si="0"/>
        <v>0.35</v>
      </c>
    </row>
    <row r="17" spans="2:18">
      <c r="B17" s="144">
        <v>42005</v>
      </c>
      <c r="C17" s="139">
        <v>0.54166666666666696</v>
      </c>
      <c r="D17">
        <v>242</v>
      </c>
      <c r="G17" s="144">
        <v>42401</v>
      </c>
      <c r="H17" s="139">
        <v>0.41666666666666702</v>
      </c>
      <c r="I17">
        <v>29</v>
      </c>
      <c r="K17" s="144">
        <v>42401</v>
      </c>
      <c r="L17" s="139">
        <v>0.41666666666666702</v>
      </c>
      <c r="M17">
        <v>3.0840000000000001</v>
      </c>
      <c r="O17" s="144">
        <v>42401</v>
      </c>
      <c r="P17" s="139">
        <v>0.41666666666666702</v>
      </c>
      <c r="Q17">
        <v>31</v>
      </c>
      <c r="R17" s="3">
        <f t="shared" si="0"/>
        <v>0.31</v>
      </c>
    </row>
    <row r="18" spans="2:18">
      <c r="B18" s="144">
        <v>42005</v>
      </c>
      <c r="C18" s="139">
        <v>0.58333333333333304</v>
      </c>
      <c r="D18">
        <v>240.5</v>
      </c>
      <c r="G18" s="144">
        <v>42430</v>
      </c>
      <c r="H18" s="139">
        <v>0.41666666666666702</v>
      </c>
      <c r="I18">
        <v>29</v>
      </c>
      <c r="K18" s="144">
        <v>42430</v>
      </c>
      <c r="L18" s="139">
        <v>0.41666666666666702</v>
      </c>
      <c r="M18">
        <v>2.5700000000000003</v>
      </c>
      <c r="O18" s="144">
        <v>42430</v>
      </c>
      <c r="P18" s="139">
        <v>0.41666666666666702</v>
      </c>
      <c r="Q18">
        <v>39</v>
      </c>
      <c r="R18" s="3">
        <f t="shared" si="0"/>
        <v>0.39</v>
      </c>
    </row>
    <row r="19" spans="2:18">
      <c r="B19" s="144">
        <v>42005</v>
      </c>
      <c r="C19" s="139">
        <v>0.625</v>
      </c>
      <c r="D19">
        <v>210.9</v>
      </c>
      <c r="G19" s="144">
        <v>42461</v>
      </c>
      <c r="H19" s="139">
        <v>0.41666666666666702</v>
      </c>
      <c r="I19">
        <v>29</v>
      </c>
      <c r="K19" s="144">
        <v>42461</v>
      </c>
      <c r="L19" s="139">
        <v>0.41666666666666702</v>
      </c>
      <c r="M19">
        <v>2.5700000000000003</v>
      </c>
      <c r="O19" s="144">
        <v>42461</v>
      </c>
      <c r="P19" s="139">
        <v>0.41666666666666702</v>
      </c>
      <c r="Q19">
        <v>41</v>
      </c>
      <c r="R19" s="3">
        <f t="shared" si="0"/>
        <v>0.41</v>
      </c>
    </row>
    <row r="20" spans="2:18">
      <c r="B20" s="144">
        <v>42005</v>
      </c>
      <c r="C20" s="139">
        <v>0.66666666666666696</v>
      </c>
      <c r="D20">
        <v>173.1</v>
      </c>
      <c r="G20" s="144">
        <v>42491</v>
      </c>
      <c r="H20" s="139">
        <v>0.41666666666666702</v>
      </c>
      <c r="I20">
        <v>28.7</v>
      </c>
      <c r="K20" s="144">
        <v>42491</v>
      </c>
      <c r="L20" s="139">
        <v>0.41666666666666702</v>
      </c>
      <c r="M20">
        <v>2.056</v>
      </c>
      <c r="O20" s="144">
        <v>42491</v>
      </c>
      <c r="P20" s="139">
        <v>0.41666666666666702</v>
      </c>
      <c r="Q20">
        <v>36</v>
      </c>
      <c r="R20" s="3">
        <f t="shared" si="0"/>
        <v>0.36</v>
      </c>
    </row>
    <row r="21" spans="2:18">
      <c r="B21" s="144">
        <v>42005</v>
      </c>
      <c r="C21" s="139">
        <v>0.70833333333333304</v>
      </c>
      <c r="D21">
        <v>119.2</v>
      </c>
      <c r="G21" s="144">
        <v>42522</v>
      </c>
      <c r="H21" s="139">
        <v>0.41666666666666702</v>
      </c>
      <c r="I21">
        <v>27.6</v>
      </c>
      <c r="K21" s="144">
        <v>42522</v>
      </c>
      <c r="L21" s="139">
        <v>0.41666666666666702</v>
      </c>
      <c r="M21">
        <v>1.542</v>
      </c>
      <c r="O21" s="144">
        <v>42522</v>
      </c>
      <c r="P21" s="139">
        <v>0.41666666666666702</v>
      </c>
      <c r="Q21">
        <v>40</v>
      </c>
      <c r="R21" s="3">
        <f t="shared" si="0"/>
        <v>0.4</v>
      </c>
    </row>
    <row r="22" spans="2:18">
      <c r="B22" s="144">
        <v>42005</v>
      </c>
      <c r="C22" s="139">
        <v>0.75</v>
      </c>
      <c r="D22">
        <v>0</v>
      </c>
      <c r="G22" s="144">
        <v>42552</v>
      </c>
      <c r="H22" s="139">
        <v>0.41666666666666702</v>
      </c>
      <c r="I22">
        <v>27.8</v>
      </c>
      <c r="K22" s="144">
        <v>42552</v>
      </c>
      <c r="L22" s="139">
        <v>0.41666666666666702</v>
      </c>
      <c r="M22">
        <v>2.056</v>
      </c>
      <c r="O22" s="144">
        <v>42552</v>
      </c>
      <c r="P22" s="139">
        <v>0.41666666666666702</v>
      </c>
      <c r="Q22">
        <v>38</v>
      </c>
      <c r="R22" s="3">
        <f t="shared" si="0"/>
        <v>0.38</v>
      </c>
    </row>
    <row r="23" spans="2:18">
      <c r="B23" s="144">
        <v>42005</v>
      </c>
      <c r="C23" s="139">
        <v>0.79166666666666696</v>
      </c>
      <c r="D23">
        <v>0</v>
      </c>
      <c r="G23" s="144">
        <v>42583</v>
      </c>
      <c r="H23" s="139">
        <v>0.41666666666666702</v>
      </c>
      <c r="I23">
        <v>27.9</v>
      </c>
      <c r="K23" s="144">
        <v>42583</v>
      </c>
      <c r="L23" s="139">
        <v>0.41666666666666702</v>
      </c>
      <c r="M23">
        <v>2.056</v>
      </c>
      <c r="O23" s="144">
        <v>42583</v>
      </c>
      <c r="P23" s="139">
        <v>0.41666666666666702</v>
      </c>
      <c r="Q23">
        <v>30</v>
      </c>
      <c r="R23" s="3">
        <f t="shared" si="0"/>
        <v>0.3</v>
      </c>
    </row>
    <row r="24" spans="2:18">
      <c r="B24" s="144">
        <v>42005</v>
      </c>
      <c r="C24" s="139">
        <v>0.83333333333333304</v>
      </c>
      <c r="D24">
        <v>0</v>
      </c>
      <c r="G24" s="144">
        <v>42614</v>
      </c>
      <c r="H24" s="139">
        <v>0.41666666666666702</v>
      </c>
      <c r="I24">
        <v>27.4</v>
      </c>
      <c r="K24" s="144">
        <v>42614</v>
      </c>
      <c r="L24" s="139">
        <v>0.41666666666666702</v>
      </c>
      <c r="M24">
        <v>2.056</v>
      </c>
      <c r="O24" s="144">
        <v>42614</v>
      </c>
      <c r="P24" s="139">
        <v>0.41666666666666702</v>
      </c>
      <c r="Q24">
        <v>39</v>
      </c>
      <c r="R24" s="3">
        <f t="shared" si="0"/>
        <v>0.39</v>
      </c>
    </row>
    <row r="25" spans="2:18">
      <c r="B25" s="144">
        <v>42005</v>
      </c>
      <c r="C25" s="139">
        <v>0.875</v>
      </c>
      <c r="D25">
        <v>0</v>
      </c>
      <c r="G25" s="144">
        <v>42644</v>
      </c>
      <c r="H25" s="139">
        <v>0.41666666666666702</v>
      </c>
      <c r="I25">
        <v>27.6</v>
      </c>
      <c r="K25" s="144">
        <v>42644</v>
      </c>
      <c r="L25" s="139">
        <v>0.41666666666666702</v>
      </c>
      <c r="M25">
        <v>2.056</v>
      </c>
      <c r="O25" s="144">
        <v>42644</v>
      </c>
      <c r="P25" s="139">
        <v>0.41666666666666702</v>
      </c>
      <c r="Q25">
        <v>45</v>
      </c>
      <c r="R25" s="3">
        <f t="shared" si="0"/>
        <v>0.45</v>
      </c>
    </row>
    <row r="26" spans="2:18">
      <c r="B26" s="144">
        <v>42005</v>
      </c>
      <c r="C26" s="139">
        <v>0.91666666666666696</v>
      </c>
      <c r="D26">
        <v>0</v>
      </c>
      <c r="G26" s="144">
        <v>42675</v>
      </c>
      <c r="H26" s="139">
        <v>0.41666666666666702</v>
      </c>
      <c r="I26">
        <v>27.7</v>
      </c>
      <c r="K26" s="144">
        <v>42675</v>
      </c>
      <c r="L26" s="139">
        <v>0.41666666666666702</v>
      </c>
      <c r="M26">
        <v>2.056</v>
      </c>
      <c r="O26" s="144">
        <v>42675</v>
      </c>
      <c r="P26" s="139">
        <v>0.41666666666666702</v>
      </c>
      <c r="Q26">
        <v>38</v>
      </c>
      <c r="R26" s="3">
        <f t="shared" si="0"/>
        <v>0.38</v>
      </c>
    </row>
    <row r="27" spans="2:18">
      <c r="B27" s="144">
        <v>42005</v>
      </c>
      <c r="C27" s="139">
        <v>0.95833333333333304</v>
      </c>
      <c r="D27">
        <v>0</v>
      </c>
      <c r="G27" s="144">
        <v>42705</v>
      </c>
      <c r="H27" s="139">
        <v>0.41666666666666702</v>
      </c>
      <c r="I27">
        <v>27.5</v>
      </c>
      <c r="K27" s="144">
        <v>42705</v>
      </c>
      <c r="L27" s="139">
        <v>0.41666666666666702</v>
      </c>
      <c r="M27">
        <v>2.056</v>
      </c>
      <c r="O27" s="144">
        <v>42705</v>
      </c>
      <c r="P27" s="139">
        <v>0.41666666666666702</v>
      </c>
      <c r="Q27">
        <v>40</v>
      </c>
      <c r="R27" s="3">
        <f t="shared" si="0"/>
        <v>0.4</v>
      </c>
    </row>
    <row r="28" spans="2:18">
      <c r="B28" s="144">
        <v>42036</v>
      </c>
      <c r="C28" s="139">
        <v>0</v>
      </c>
      <c r="D28">
        <v>0</v>
      </c>
      <c r="G28" s="144">
        <v>42736</v>
      </c>
      <c r="H28" s="139">
        <v>0.41666666666666702</v>
      </c>
      <c r="I28">
        <v>27.4</v>
      </c>
      <c r="K28" s="144">
        <v>42736</v>
      </c>
      <c r="L28" s="139">
        <v>0.41666666666666702</v>
      </c>
      <c r="M28">
        <v>1.542</v>
      </c>
      <c r="O28" s="144">
        <v>42736</v>
      </c>
      <c r="P28" s="139">
        <v>0.41666666666666702</v>
      </c>
      <c r="Q28">
        <v>47</v>
      </c>
      <c r="R28" s="3">
        <f t="shared" si="0"/>
        <v>0.47</v>
      </c>
    </row>
    <row r="29" spans="2:18">
      <c r="B29" s="144">
        <v>42036</v>
      </c>
      <c r="C29" s="139">
        <v>4.1666666666666664E-2</v>
      </c>
      <c r="D29">
        <v>0</v>
      </c>
      <c r="G29" s="144">
        <v>42767</v>
      </c>
      <c r="H29" s="139">
        <v>0.41666666666666702</v>
      </c>
      <c r="I29">
        <v>27.9</v>
      </c>
      <c r="K29" s="144">
        <v>42767</v>
      </c>
      <c r="L29" s="139">
        <v>0.41666666666666702</v>
      </c>
      <c r="M29">
        <v>2.056</v>
      </c>
      <c r="O29" s="144">
        <v>42767</v>
      </c>
      <c r="P29" s="139">
        <v>0.41666666666666702</v>
      </c>
      <c r="Q29">
        <v>40</v>
      </c>
      <c r="R29" s="3">
        <f t="shared" si="0"/>
        <v>0.4</v>
      </c>
    </row>
    <row r="30" spans="2:18">
      <c r="B30" s="144">
        <v>42036</v>
      </c>
      <c r="C30" s="139">
        <v>8.3333333333333301E-2</v>
      </c>
      <c r="D30">
        <v>0</v>
      </c>
      <c r="G30" s="144">
        <v>42795</v>
      </c>
      <c r="H30" s="139">
        <v>0.41666666666666702</v>
      </c>
      <c r="I30">
        <v>27.6</v>
      </c>
      <c r="K30" s="144">
        <v>42795</v>
      </c>
      <c r="L30" s="139">
        <v>0.41666666666666702</v>
      </c>
      <c r="M30">
        <v>2.056</v>
      </c>
      <c r="O30" s="144">
        <v>42795</v>
      </c>
      <c r="P30" s="139">
        <v>0.41666666666666702</v>
      </c>
      <c r="Q30">
        <v>43</v>
      </c>
      <c r="R30" s="3">
        <f t="shared" si="0"/>
        <v>0.43</v>
      </c>
    </row>
    <row r="31" spans="2:18">
      <c r="B31" s="144">
        <v>42036</v>
      </c>
      <c r="C31" s="139">
        <v>0.125</v>
      </c>
      <c r="D31">
        <v>0</v>
      </c>
      <c r="G31" s="144">
        <v>42826</v>
      </c>
      <c r="H31" s="139">
        <v>0.41666666666666702</v>
      </c>
      <c r="I31">
        <v>27.8</v>
      </c>
      <c r="K31" s="144">
        <v>42826</v>
      </c>
      <c r="L31" s="139">
        <v>0.41666666666666702</v>
      </c>
      <c r="M31">
        <v>2.056</v>
      </c>
      <c r="O31" s="144">
        <v>42826</v>
      </c>
      <c r="P31" s="139">
        <v>0.41666666666666702</v>
      </c>
      <c r="Q31">
        <v>36</v>
      </c>
      <c r="R31" s="3">
        <f t="shared" si="0"/>
        <v>0.36</v>
      </c>
    </row>
    <row r="32" spans="2:18">
      <c r="B32" s="144">
        <v>42036</v>
      </c>
      <c r="C32" s="139">
        <v>0.16666666666666699</v>
      </c>
      <c r="D32">
        <v>0</v>
      </c>
      <c r="G32" s="144">
        <v>42856</v>
      </c>
      <c r="H32" s="139">
        <v>0.41666666666666702</v>
      </c>
      <c r="I32">
        <v>27.7</v>
      </c>
      <c r="K32" s="144">
        <v>42856</v>
      </c>
      <c r="L32" s="139">
        <v>0.41666666666666702</v>
      </c>
      <c r="M32">
        <v>2.056</v>
      </c>
      <c r="O32" s="144">
        <v>42856</v>
      </c>
      <c r="P32" s="139">
        <v>0.41666666666666702</v>
      </c>
      <c r="Q32">
        <v>38</v>
      </c>
      <c r="R32" s="3">
        <f t="shared" si="0"/>
        <v>0.38</v>
      </c>
    </row>
    <row r="33" spans="2:18">
      <c r="B33" s="144">
        <v>42036</v>
      </c>
      <c r="C33" s="139">
        <v>0.20833333333333301</v>
      </c>
      <c r="D33">
        <v>0</v>
      </c>
      <c r="G33" s="144">
        <v>42887</v>
      </c>
      <c r="H33" s="139">
        <v>0.41666666666666702</v>
      </c>
      <c r="I33">
        <v>27.3</v>
      </c>
      <c r="K33" s="144">
        <v>42887</v>
      </c>
      <c r="L33" s="139">
        <v>0.41666666666666702</v>
      </c>
      <c r="M33">
        <v>2.056</v>
      </c>
      <c r="O33" s="144">
        <v>42887</v>
      </c>
      <c r="P33" s="139">
        <v>0.41666666666666702</v>
      </c>
      <c r="Q33">
        <v>54</v>
      </c>
      <c r="R33" s="3">
        <f t="shared" si="0"/>
        <v>0.54</v>
      </c>
    </row>
    <row r="34" spans="2:18">
      <c r="B34" s="144">
        <v>42036</v>
      </c>
      <c r="C34" s="139">
        <v>0.25</v>
      </c>
      <c r="D34">
        <v>23.1</v>
      </c>
      <c r="G34" s="144">
        <v>42917</v>
      </c>
      <c r="H34" s="139">
        <v>0.41666666666666702</v>
      </c>
      <c r="I34">
        <v>27.7</v>
      </c>
      <c r="K34" s="144">
        <v>42917</v>
      </c>
      <c r="L34" s="139">
        <v>0.41666666666666702</v>
      </c>
      <c r="M34">
        <v>2.056</v>
      </c>
      <c r="O34" s="144">
        <v>42917</v>
      </c>
      <c r="P34" s="139">
        <v>0.41666666666666702</v>
      </c>
      <c r="Q34">
        <v>40</v>
      </c>
      <c r="R34" s="3">
        <f t="shared" si="0"/>
        <v>0.4</v>
      </c>
    </row>
    <row r="35" spans="2:18">
      <c r="B35" s="144">
        <v>42036</v>
      </c>
      <c r="C35" s="139">
        <v>0.29166666666666702</v>
      </c>
      <c r="D35">
        <v>157.69999999999999</v>
      </c>
      <c r="G35" s="144">
        <v>42948</v>
      </c>
      <c r="H35" s="139">
        <v>0.41666666666666702</v>
      </c>
      <c r="I35">
        <v>27.2</v>
      </c>
      <c r="K35" s="144">
        <v>42948</v>
      </c>
      <c r="L35" s="139">
        <v>0.41666666666666702</v>
      </c>
      <c r="M35">
        <v>2.056</v>
      </c>
      <c r="O35" s="144">
        <v>42948</v>
      </c>
      <c r="P35" s="139">
        <v>0.41666666666666702</v>
      </c>
      <c r="Q35">
        <v>43</v>
      </c>
      <c r="R35" s="3">
        <f t="shared" si="0"/>
        <v>0.43</v>
      </c>
    </row>
    <row r="36" spans="2:18">
      <c r="B36" s="144">
        <v>42036</v>
      </c>
      <c r="C36" s="139">
        <v>0.33333333333333298</v>
      </c>
      <c r="D36">
        <v>227.1</v>
      </c>
      <c r="G36" s="144">
        <v>42979</v>
      </c>
      <c r="H36" s="139">
        <v>0.41666666666666702</v>
      </c>
      <c r="I36">
        <v>27.8</v>
      </c>
      <c r="K36" s="144">
        <v>42979</v>
      </c>
      <c r="L36" s="139">
        <v>0.41666666666666702</v>
      </c>
      <c r="M36">
        <v>2.056</v>
      </c>
      <c r="O36" s="144">
        <v>42979</v>
      </c>
      <c r="P36" s="139">
        <v>0.41666666666666702</v>
      </c>
      <c r="Q36">
        <v>38</v>
      </c>
      <c r="R36" s="3">
        <f t="shared" si="0"/>
        <v>0.38</v>
      </c>
    </row>
    <row r="37" spans="2:18">
      <c r="B37" s="144">
        <v>42036</v>
      </c>
      <c r="C37" s="139">
        <v>0.375</v>
      </c>
      <c r="D37">
        <v>270.5</v>
      </c>
      <c r="G37" s="144">
        <v>43009</v>
      </c>
      <c r="H37" s="139">
        <v>0.41666666666666702</v>
      </c>
      <c r="I37">
        <v>28.3</v>
      </c>
      <c r="K37" s="144">
        <v>43009</v>
      </c>
      <c r="L37" s="139">
        <v>0.41666666666666702</v>
      </c>
      <c r="M37">
        <v>2.056</v>
      </c>
      <c r="O37" s="144">
        <v>43009</v>
      </c>
      <c r="P37" s="139">
        <v>0.41666666666666702</v>
      </c>
      <c r="Q37">
        <v>30</v>
      </c>
      <c r="R37" s="3">
        <f t="shared" si="0"/>
        <v>0.3</v>
      </c>
    </row>
    <row r="38" spans="2:18">
      <c r="B38" s="144">
        <v>42036</v>
      </c>
      <c r="C38" s="139">
        <v>0.41666666666666702</v>
      </c>
      <c r="D38">
        <v>270.60000000000002</v>
      </c>
      <c r="G38" s="144">
        <v>43040</v>
      </c>
      <c r="H38" s="139">
        <v>0.41666666666666702</v>
      </c>
      <c r="I38">
        <v>28.1</v>
      </c>
      <c r="K38" s="144">
        <v>43040</v>
      </c>
      <c r="L38" s="139">
        <v>0.41666666666666702</v>
      </c>
      <c r="M38">
        <v>2.056</v>
      </c>
      <c r="O38" s="144">
        <v>43040</v>
      </c>
      <c r="P38" s="139">
        <v>0.41666666666666702</v>
      </c>
      <c r="Q38">
        <v>41</v>
      </c>
      <c r="R38" s="3">
        <f t="shared" si="0"/>
        <v>0.41</v>
      </c>
    </row>
    <row r="39" spans="2:18">
      <c r="B39" s="144">
        <v>42036</v>
      </c>
      <c r="C39" s="139">
        <v>0.45833333333333298</v>
      </c>
      <c r="D39">
        <v>271.3</v>
      </c>
      <c r="G39" s="144">
        <v>43070</v>
      </c>
      <c r="H39" s="139">
        <v>0.41666666666666702</v>
      </c>
      <c r="I39">
        <v>28</v>
      </c>
      <c r="K39" s="144">
        <v>43070</v>
      </c>
      <c r="L39" s="139">
        <v>0.41666666666666702</v>
      </c>
      <c r="M39">
        <v>2.056</v>
      </c>
      <c r="O39" s="144">
        <v>43070</v>
      </c>
      <c r="P39" s="139">
        <v>0.41666666666666702</v>
      </c>
      <c r="Q39">
        <v>43</v>
      </c>
      <c r="R39" s="3">
        <f t="shared" si="0"/>
        <v>0.43</v>
      </c>
    </row>
    <row r="40" spans="2:18">
      <c r="B40" s="144">
        <v>42036</v>
      </c>
      <c r="C40" s="139">
        <v>0.5</v>
      </c>
      <c r="D40">
        <v>252.6</v>
      </c>
      <c r="G40" s="144">
        <v>43101</v>
      </c>
      <c r="H40" s="139">
        <v>0.41666666666666702</v>
      </c>
      <c r="I40">
        <v>27.6</v>
      </c>
      <c r="K40" s="144">
        <v>43101</v>
      </c>
      <c r="L40" s="139">
        <v>0.41666666666666702</v>
      </c>
      <c r="M40">
        <v>2.056</v>
      </c>
      <c r="O40" s="144">
        <v>43101</v>
      </c>
      <c r="P40" s="139">
        <v>0.41666666666666702</v>
      </c>
      <c r="Q40">
        <v>45</v>
      </c>
      <c r="R40" s="3">
        <f t="shared" si="0"/>
        <v>0.45</v>
      </c>
    </row>
    <row r="41" spans="2:18">
      <c r="B41" s="144">
        <v>42036</v>
      </c>
      <c r="C41" s="139">
        <v>0.54166666666666696</v>
      </c>
      <c r="D41">
        <v>254.1</v>
      </c>
      <c r="G41" s="144">
        <v>43132</v>
      </c>
      <c r="H41" s="139">
        <v>0.41666666666666702</v>
      </c>
      <c r="I41">
        <v>27.6</v>
      </c>
      <c r="K41" s="144">
        <v>43132</v>
      </c>
      <c r="L41" s="139">
        <v>0.41666666666666702</v>
      </c>
      <c r="M41">
        <v>1.542</v>
      </c>
      <c r="O41" s="144">
        <v>43132</v>
      </c>
      <c r="P41" s="139">
        <v>0.41666666666666702</v>
      </c>
      <c r="Q41">
        <v>46</v>
      </c>
      <c r="R41" s="3">
        <f t="shared" si="0"/>
        <v>0.46</v>
      </c>
    </row>
    <row r="42" spans="2:18">
      <c r="B42" s="144">
        <v>42036</v>
      </c>
      <c r="C42" s="139">
        <v>0.58333333333333304</v>
      </c>
      <c r="D42">
        <v>283</v>
      </c>
      <c r="G42" s="144">
        <v>43160</v>
      </c>
      <c r="H42" s="139">
        <v>0.41666666666666702</v>
      </c>
      <c r="I42">
        <v>27.9</v>
      </c>
      <c r="K42" s="144">
        <v>43160</v>
      </c>
      <c r="L42" s="139">
        <v>0.41666666666666702</v>
      </c>
      <c r="M42">
        <v>2.056</v>
      </c>
      <c r="O42" s="144">
        <v>43160</v>
      </c>
      <c r="P42" s="139">
        <v>0.41666666666666702</v>
      </c>
      <c r="Q42">
        <v>42</v>
      </c>
      <c r="R42" s="3">
        <f t="shared" si="0"/>
        <v>0.42</v>
      </c>
    </row>
    <row r="43" spans="2:18">
      <c r="B43" s="144">
        <v>42036</v>
      </c>
      <c r="C43" s="139">
        <v>0.625</v>
      </c>
      <c r="D43">
        <v>269.8</v>
      </c>
      <c r="G43" s="144">
        <v>43191</v>
      </c>
      <c r="H43" s="139">
        <v>0.41666666666666702</v>
      </c>
      <c r="I43">
        <v>27.8</v>
      </c>
      <c r="K43" s="144">
        <v>43191</v>
      </c>
      <c r="L43" s="139">
        <v>0.41666666666666702</v>
      </c>
      <c r="M43">
        <v>2.056</v>
      </c>
      <c r="O43" s="144">
        <v>43191</v>
      </c>
      <c r="P43" s="139">
        <v>0.41666666666666702</v>
      </c>
      <c r="Q43">
        <v>47</v>
      </c>
      <c r="R43" s="3">
        <f t="shared" si="0"/>
        <v>0.47</v>
      </c>
    </row>
    <row r="44" spans="2:18">
      <c r="B44" s="144">
        <v>42036</v>
      </c>
      <c r="C44" s="139">
        <v>0.66666666666666696</v>
      </c>
      <c r="D44">
        <v>212.4</v>
      </c>
      <c r="G44" s="144">
        <v>43221</v>
      </c>
      <c r="H44" s="139">
        <v>0.41666666666666702</v>
      </c>
      <c r="I44">
        <v>27.8</v>
      </c>
      <c r="K44" s="144">
        <v>43221</v>
      </c>
      <c r="L44" s="139">
        <v>0.41666666666666702</v>
      </c>
      <c r="M44">
        <v>1.542</v>
      </c>
      <c r="O44" s="144">
        <v>43221</v>
      </c>
      <c r="P44" s="139">
        <v>0.41666666666666702</v>
      </c>
      <c r="Q44">
        <v>31</v>
      </c>
      <c r="R44" s="3">
        <f t="shared" si="0"/>
        <v>0.31</v>
      </c>
    </row>
    <row r="45" spans="2:18">
      <c r="B45" s="144">
        <v>42036</v>
      </c>
      <c r="C45" s="139">
        <v>0.70833333333333304</v>
      </c>
      <c r="D45">
        <v>148.5</v>
      </c>
      <c r="G45" s="144">
        <v>43252</v>
      </c>
      <c r="H45" s="139">
        <v>0.41666666666666702</v>
      </c>
      <c r="I45">
        <v>27.8</v>
      </c>
      <c r="K45" s="144">
        <v>43252</v>
      </c>
      <c r="L45" s="139">
        <v>0.41666666666666702</v>
      </c>
      <c r="M45">
        <v>1.542</v>
      </c>
      <c r="O45" s="144">
        <v>43252</v>
      </c>
      <c r="P45" s="139">
        <v>0.41666666666666702</v>
      </c>
      <c r="Q45">
        <v>31</v>
      </c>
      <c r="R45" s="3">
        <f t="shared" si="0"/>
        <v>0.31</v>
      </c>
    </row>
    <row r="46" spans="2:18">
      <c r="B46" s="144">
        <v>42036</v>
      </c>
      <c r="C46" s="139">
        <v>0.75</v>
      </c>
      <c r="D46">
        <v>0</v>
      </c>
      <c r="G46" s="144">
        <v>43282</v>
      </c>
      <c r="H46" s="139">
        <v>0.41666666666666702</v>
      </c>
      <c r="I46">
        <v>27.9</v>
      </c>
      <c r="K46" s="144">
        <v>43282</v>
      </c>
      <c r="L46" s="139">
        <v>0.41666666666666702</v>
      </c>
      <c r="M46">
        <v>2.056</v>
      </c>
      <c r="O46" s="144">
        <v>43282</v>
      </c>
      <c r="P46" s="139">
        <v>0.41666666666666702</v>
      </c>
      <c r="Q46">
        <v>36</v>
      </c>
      <c r="R46" s="3">
        <f t="shared" si="0"/>
        <v>0.36</v>
      </c>
    </row>
    <row r="47" spans="2:18">
      <c r="B47" s="144">
        <v>42036</v>
      </c>
      <c r="C47" s="139">
        <v>0.79166666666666696</v>
      </c>
      <c r="D47">
        <v>0</v>
      </c>
      <c r="G47" s="144">
        <v>43313</v>
      </c>
      <c r="H47" s="139">
        <v>0.41666666666666702</v>
      </c>
      <c r="I47">
        <v>28</v>
      </c>
      <c r="K47" s="144">
        <v>43313</v>
      </c>
      <c r="L47" s="139">
        <v>0.41666666666666702</v>
      </c>
      <c r="M47">
        <v>2.056</v>
      </c>
      <c r="O47" s="144">
        <v>43313</v>
      </c>
      <c r="P47" s="139">
        <v>0.41666666666666702</v>
      </c>
      <c r="Q47">
        <v>32</v>
      </c>
      <c r="R47" s="3">
        <f t="shared" si="0"/>
        <v>0.32</v>
      </c>
    </row>
    <row r="48" spans="2:18">
      <c r="B48" s="144">
        <v>42036</v>
      </c>
      <c r="C48" s="139">
        <v>0.83333333333333304</v>
      </c>
      <c r="D48">
        <v>0</v>
      </c>
      <c r="G48" s="144">
        <v>43344</v>
      </c>
      <c r="H48" s="139">
        <v>0.41666666666666702</v>
      </c>
      <c r="I48">
        <v>28.1</v>
      </c>
      <c r="K48" s="144">
        <v>43344</v>
      </c>
      <c r="L48" s="139">
        <v>0.41666666666666702</v>
      </c>
      <c r="M48">
        <v>1.542</v>
      </c>
      <c r="O48" s="144">
        <v>43344</v>
      </c>
      <c r="P48" s="139">
        <v>0.41666666666666702</v>
      </c>
      <c r="Q48">
        <v>25</v>
      </c>
      <c r="R48" s="3">
        <f t="shared" si="0"/>
        <v>0.25</v>
      </c>
    </row>
    <row r="49" spans="2:18">
      <c r="B49" s="144">
        <v>42036</v>
      </c>
      <c r="C49" s="139">
        <v>0.875</v>
      </c>
      <c r="D49">
        <v>0</v>
      </c>
      <c r="G49" s="144">
        <v>43374</v>
      </c>
      <c r="H49" s="139">
        <v>0.41666666666666702</v>
      </c>
      <c r="I49">
        <v>27.8</v>
      </c>
      <c r="K49" s="144">
        <v>43374</v>
      </c>
      <c r="L49" s="139">
        <v>0.41666666666666702</v>
      </c>
      <c r="M49">
        <v>1.542</v>
      </c>
      <c r="O49" s="144">
        <v>43374</v>
      </c>
      <c r="P49" s="139">
        <v>0.41666666666666702</v>
      </c>
      <c r="Q49">
        <v>60</v>
      </c>
      <c r="R49" s="3">
        <f t="shared" si="0"/>
        <v>0.6</v>
      </c>
    </row>
    <row r="50" spans="2:18">
      <c r="B50" s="144">
        <v>42036</v>
      </c>
      <c r="C50" s="139">
        <v>0.91666666666666696</v>
      </c>
      <c r="D50">
        <v>0</v>
      </c>
      <c r="G50" s="144">
        <v>43405</v>
      </c>
      <c r="H50" s="139">
        <v>0.41666666666666702</v>
      </c>
      <c r="I50">
        <v>27.9</v>
      </c>
      <c r="K50" s="144">
        <v>43405</v>
      </c>
      <c r="L50" s="139">
        <v>0.41666666666666702</v>
      </c>
      <c r="M50">
        <v>1.542</v>
      </c>
      <c r="O50" s="144">
        <v>43405</v>
      </c>
      <c r="P50" s="139">
        <v>0.41666666666666702</v>
      </c>
      <c r="Q50">
        <v>58</v>
      </c>
      <c r="R50" s="3">
        <f t="shared" si="0"/>
        <v>0.57999999999999996</v>
      </c>
    </row>
    <row r="51" spans="2:18">
      <c r="B51" s="144">
        <v>42036</v>
      </c>
      <c r="C51" s="139">
        <v>0.95833333333333304</v>
      </c>
      <c r="D51">
        <v>0</v>
      </c>
      <c r="G51" s="144">
        <v>43435</v>
      </c>
      <c r="H51" s="139">
        <v>0.41666666666666702</v>
      </c>
      <c r="I51">
        <v>28.2</v>
      </c>
      <c r="K51" s="144">
        <v>43435</v>
      </c>
      <c r="L51" s="139">
        <v>0.41666666666666702</v>
      </c>
      <c r="M51">
        <v>2.056</v>
      </c>
      <c r="O51" s="144">
        <v>43435</v>
      </c>
      <c r="P51" s="139">
        <v>0.41666666666666702</v>
      </c>
      <c r="Q51">
        <v>58</v>
      </c>
      <c r="R51" s="3">
        <f t="shared" si="0"/>
        <v>0.57999999999999996</v>
      </c>
    </row>
    <row r="52" spans="2:18">
      <c r="B52" s="144">
        <v>42064</v>
      </c>
      <c r="C52" s="139">
        <v>0</v>
      </c>
      <c r="D52">
        <v>0</v>
      </c>
      <c r="G52" s="144">
        <v>43466</v>
      </c>
      <c r="H52" s="139">
        <v>0.41666666666666702</v>
      </c>
      <c r="I52">
        <v>27.7</v>
      </c>
      <c r="K52" s="144">
        <v>43466</v>
      </c>
      <c r="L52" s="139">
        <v>0.41666666666666702</v>
      </c>
      <c r="M52">
        <v>2.056</v>
      </c>
      <c r="O52" s="144">
        <v>43466</v>
      </c>
      <c r="P52" s="139">
        <v>0.41666666666666702</v>
      </c>
      <c r="Q52">
        <v>63</v>
      </c>
      <c r="R52" s="3">
        <f t="shared" si="0"/>
        <v>0.63</v>
      </c>
    </row>
    <row r="53" spans="2:18">
      <c r="B53" s="144">
        <v>42064</v>
      </c>
      <c r="C53" s="139">
        <v>4.1666666666666664E-2</v>
      </c>
      <c r="D53">
        <v>0</v>
      </c>
      <c r="G53" s="144">
        <v>43497</v>
      </c>
      <c r="H53" s="139">
        <v>0.41666666666666702</v>
      </c>
      <c r="I53">
        <v>28.4</v>
      </c>
      <c r="K53" s="144">
        <v>43497</v>
      </c>
      <c r="L53" s="139">
        <v>0.41666666666666702</v>
      </c>
      <c r="M53">
        <v>2.5700000000000003</v>
      </c>
      <c r="O53" s="144">
        <v>43497</v>
      </c>
      <c r="P53" s="139">
        <v>0.41666666666666702</v>
      </c>
      <c r="Q53">
        <v>52</v>
      </c>
      <c r="R53" s="3">
        <f t="shared" si="0"/>
        <v>0.52</v>
      </c>
    </row>
    <row r="54" spans="2:18">
      <c r="B54" s="144">
        <v>42064</v>
      </c>
      <c r="C54" s="139">
        <v>8.3333333333333301E-2</v>
      </c>
      <c r="D54">
        <v>0</v>
      </c>
      <c r="G54" s="144">
        <v>43525</v>
      </c>
      <c r="H54" s="139">
        <v>0.41666666666666702</v>
      </c>
      <c r="I54">
        <v>28.2</v>
      </c>
      <c r="K54" s="144">
        <v>43525</v>
      </c>
      <c r="L54" s="139">
        <v>0.41666666666666702</v>
      </c>
      <c r="M54">
        <v>2.056</v>
      </c>
      <c r="O54" s="144">
        <v>43525</v>
      </c>
      <c r="P54" s="139">
        <v>0.41666666666666702</v>
      </c>
      <c r="Q54">
        <v>60</v>
      </c>
      <c r="R54" s="3">
        <f t="shared" si="0"/>
        <v>0.6</v>
      </c>
    </row>
    <row r="55" spans="2:18">
      <c r="B55" s="144">
        <v>42064</v>
      </c>
      <c r="C55" s="139">
        <v>0.125</v>
      </c>
      <c r="D55">
        <v>0</v>
      </c>
      <c r="G55" s="144">
        <v>43556</v>
      </c>
      <c r="H55" s="139">
        <v>0.41666666666666702</v>
      </c>
      <c r="I55">
        <v>28.5</v>
      </c>
      <c r="K55" s="144">
        <v>43556</v>
      </c>
      <c r="L55" s="139">
        <v>0.41666666666666702</v>
      </c>
      <c r="M55">
        <v>2.056</v>
      </c>
      <c r="O55" s="144">
        <v>43556</v>
      </c>
      <c r="P55" s="139">
        <v>0.41666666666666702</v>
      </c>
      <c r="Q55">
        <v>69</v>
      </c>
      <c r="R55" s="3">
        <f t="shared" si="0"/>
        <v>0.69</v>
      </c>
    </row>
    <row r="56" spans="2:18">
      <c r="B56" s="144">
        <v>42064</v>
      </c>
      <c r="C56" s="139">
        <v>0.16666666666666699</v>
      </c>
      <c r="D56">
        <v>0</v>
      </c>
      <c r="G56" s="144">
        <v>43586</v>
      </c>
      <c r="H56" s="139">
        <v>0.41666666666666702</v>
      </c>
      <c r="I56">
        <v>28.3</v>
      </c>
      <c r="K56" s="144">
        <v>43586</v>
      </c>
      <c r="L56" s="139">
        <v>0.41666666666666702</v>
      </c>
      <c r="M56">
        <v>1.542</v>
      </c>
      <c r="O56" s="144">
        <v>43586</v>
      </c>
      <c r="P56" s="139">
        <v>0.41666666666666702</v>
      </c>
      <c r="Q56">
        <v>62</v>
      </c>
      <c r="R56" s="3">
        <f t="shared" si="0"/>
        <v>0.62</v>
      </c>
    </row>
    <row r="57" spans="2:18">
      <c r="B57" s="144">
        <v>42064</v>
      </c>
      <c r="C57" s="139">
        <v>0.20833333333333301</v>
      </c>
      <c r="D57">
        <v>0</v>
      </c>
      <c r="G57" s="144">
        <v>43617</v>
      </c>
      <c r="H57" s="139">
        <v>0.41666666666666702</v>
      </c>
      <c r="I57">
        <v>27.7</v>
      </c>
      <c r="K57" s="144">
        <v>43617</v>
      </c>
      <c r="L57" s="139">
        <v>0.41666666666666702</v>
      </c>
      <c r="M57">
        <v>2.056</v>
      </c>
      <c r="O57" s="144">
        <v>43617</v>
      </c>
      <c r="P57" s="139">
        <v>0.41666666666666702</v>
      </c>
      <c r="Q57">
        <v>69</v>
      </c>
      <c r="R57" s="3">
        <f t="shared" si="0"/>
        <v>0.69</v>
      </c>
    </row>
    <row r="58" spans="2:18">
      <c r="B58" s="144">
        <v>42064</v>
      </c>
      <c r="C58" s="139">
        <v>0.25</v>
      </c>
      <c r="D58">
        <v>29</v>
      </c>
      <c r="G58" s="144">
        <v>43647</v>
      </c>
      <c r="H58" s="139">
        <v>0.41666666666666702</v>
      </c>
      <c r="I58">
        <v>27.7</v>
      </c>
      <c r="K58" s="144">
        <v>43647</v>
      </c>
      <c r="L58" s="139">
        <v>0.41666666666666702</v>
      </c>
      <c r="M58">
        <v>2.056</v>
      </c>
      <c r="O58" s="144">
        <v>43647</v>
      </c>
      <c r="P58" s="139">
        <v>0.41666666666666702</v>
      </c>
      <c r="Q58">
        <v>62</v>
      </c>
      <c r="R58" s="3">
        <f t="shared" si="0"/>
        <v>0.62</v>
      </c>
    </row>
    <row r="59" spans="2:18">
      <c r="B59" s="144">
        <v>42064</v>
      </c>
      <c r="C59" s="139">
        <v>0.29166666666666702</v>
      </c>
      <c r="D59">
        <v>175.7</v>
      </c>
      <c r="G59" s="144">
        <v>43678</v>
      </c>
      <c r="H59" s="139">
        <v>0.41666666666666702</v>
      </c>
      <c r="I59">
        <v>27.9</v>
      </c>
      <c r="K59" s="144">
        <v>43678</v>
      </c>
      <c r="L59" s="139">
        <v>0.41666666666666702</v>
      </c>
      <c r="M59">
        <v>2.5700000000000003</v>
      </c>
      <c r="O59" s="144">
        <v>43678</v>
      </c>
      <c r="P59" s="139">
        <v>0.41666666666666702</v>
      </c>
      <c r="Q59">
        <v>51</v>
      </c>
      <c r="R59" s="3">
        <f t="shared" si="0"/>
        <v>0.51</v>
      </c>
    </row>
    <row r="60" spans="2:18">
      <c r="B60" s="144">
        <v>42064</v>
      </c>
      <c r="C60" s="139">
        <v>0.33333333333333298</v>
      </c>
      <c r="D60">
        <v>249.4</v>
      </c>
      <c r="G60" s="144">
        <v>43709</v>
      </c>
      <c r="H60" s="139">
        <v>0.41666666666666702</v>
      </c>
      <c r="I60">
        <v>28.5</v>
      </c>
      <c r="K60" s="144">
        <v>43709</v>
      </c>
      <c r="L60" s="139">
        <v>0.41666666666666702</v>
      </c>
      <c r="M60">
        <v>2.5700000000000003</v>
      </c>
      <c r="O60" s="144">
        <v>43709</v>
      </c>
      <c r="P60" s="139">
        <v>0.41666666666666702</v>
      </c>
      <c r="Q60">
        <v>45</v>
      </c>
      <c r="R60" s="3">
        <f t="shared" si="0"/>
        <v>0.45</v>
      </c>
    </row>
    <row r="61" spans="2:18">
      <c r="B61" s="144">
        <v>42064</v>
      </c>
      <c r="C61" s="139">
        <v>0.375</v>
      </c>
      <c r="D61">
        <v>273.89999999999998</v>
      </c>
      <c r="G61" s="144">
        <v>43739</v>
      </c>
      <c r="H61" s="139">
        <v>0.41666666666666702</v>
      </c>
      <c r="I61">
        <v>28</v>
      </c>
      <c r="K61" s="144">
        <v>43739</v>
      </c>
      <c r="L61" s="139">
        <v>0.41666666666666702</v>
      </c>
      <c r="M61">
        <v>1.542</v>
      </c>
      <c r="O61" s="144">
        <v>43739</v>
      </c>
      <c r="P61" s="139">
        <v>0.41666666666666702</v>
      </c>
      <c r="Q61">
        <v>66</v>
      </c>
      <c r="R61" s="3">
        <f t="shared" si="0"/>
        <v>0.66</v>
      </c>
    </row>
    <row r="62" spans="2:18">
      <c r="B62" s="144">
        <v>42064</v>
      </c>
      <c r="C62" s="139">
        <v>0.41666666666666702</v>
      </c>
      <c r="D62">
        <v>260.8</v>
      </c>
      <c r="G62" s="144">
        <v>43770</v>
      </c>
      <c r="H62" s="139">
        <v>0.41666666666666702</v>
      </c>
      <c r="I62">
        <v>28.1</v>
      </c>
      <c r="K62" s="144">
        <v>43770</v>
      </c>
      <c r="L62" s="139">
        <v>0.41666666666666702</v>
      </c>
      <c r="M62">
        <v>1.542</v>
      </c>
      <c r="O62" s="144">
        <v>43770</v>
      </c>
      <c r="P62" s="139">
        <v>0.41666666666666702</v>
      </c>
      <c r="Q62">
        <v>60</v>
      </c>
      <c r="R62" s="3">
        <f t="shared" si="0"/>
        <v>0.6</v>
      </c>
    </row>
    <row r="63" spans="2:18">
      <c r="B63" s="144">
        <v>42064</v>
      </c>
      <c r="C63" s="139">
        <v>0.45833333333333298</v>
      </c>
      <c r="D63">
        <v>266.10000000000002</v>
      </c>
      <c r="G63" s="144">
        <v>43800</v>
      </c>
      <c r="H63" s="139">
        <v>0.41666666666666702</v>
      </c>
      <c r="I63">
        <v>27.8</v>
      </c>
      <c r="K63" s="144">
        <v>43800</v>
      </c>
      <c r="L63" s="139">
        <v>0.41666666666666702</v>
      </c>
      <c r="M63">
        <v>1.542</v>
      </c>
      <c r="O63" s="144">
        <v>43800</v>
      </c>
      <c r="P63" s="139">
        <v>0.41666666666666702</v>
      </c>
      <c r="Q63">
        <v>65</v>
      </c>
      <c r="R63" s="3">
        <f t="shared" si="0"/>
        <v>0.65</v>
      </c>
    </row>
    <row r="64" spans="2:18">
      <c r="B64" s="144">
        <v>42064</v>
      </c>
      <c r="C64" s="139">
        <v>0.5</v>
      </c>
      <c r="D64">
        <v>250</v>
      </c>
      <c r="G64" s="144">
        <v>43861</v>
      </c>
      <c r="H64" s="139">
        <v>0.41666666666666702</v>
      </c>
      <c r="I64">
        <v>27.7</v>
      </c>
      <c r="K64" s="144">
        <v>43861</v>
      </c>
      <c r="L64" s="139">
        <v>0.41666666666666702</v>
      </c>
      <c r="M64">
        <v>2.056</v>
      </c>
      <c r="O64" s="144">
        <v>43861</v>
      </c>
      <c r="P64" s="139">
        <v>0.41666666666666702</v>
      </c>
      <c r="Q64">
        <v>63</v>
      </c>
      <c r="R64" s="3">
        <f t="shared" si="0"/>
        <v>0.63</v>
      </c>
    </row>
    <row r="65" spans="2:18">
      <c r="B65" s="144">
        <v>42064</v>
      </c>
      <c r="C65" s="139">
        <v>0.54166666666666696</v>
      </c>
      <c r="D65">
        <v>288.8</v>
      </c>
      <c r="G65" s="144">
        <v>43889</v>
      </c>
      <c r="H65" s="139">
        <v>0.41666666666666702</v>
      </c>
      <c r="I65">
        <v>28.4</v>
      </c>
      <c r="K65" s="144">
        <v>43889</v>
      </c>
      <c r="L65" s="139">
        <v>0.41666666666666702</v>
      </c>
      <c r="M65">
        <v>2.5700000000000003</v>
      </c>
      <c r="O65" s="144">
        <v>43889</v>
      </c>
      <c r="P65" s="139">
        <v>0.41666666666666702</v>
      </c>
      <c r="Q65">
        <v>52</v>
      </c>
      <c r="R65" s="3">
        <f t="shared" si="0"/>
        <v>0.52</v>
      </c>
    </row>
    <row r="66" spans="2:18">
      <c r="B66" s="144">
        <v>42064</v>
      </c>
      <c r="C66" s="139">
        <v>0.58333333333333304</v>
      </c>
      <c r="D66">
        <v>285</v>
      </c>
      <c r="G66" s="144">
        <v>43921</v>
      </c>
      <c r="H66" s="139">
        <v>0.41666666666666702</v>
      </c>
      <c r="I66">
        <v>28.2</v>
      </c>
      <c r="K66" s="144">
        <v>43921</v>
      </c>
      <c r="L66" s="139">
        <v>0.41666666666666702</v>
      </c>
      <c r="M66">
        <v>2.056</v>
      </c>
      <c r="O66" s="144">
        <v>43921</v>
      </c>
      <c r="P66" s="139">
        <v>0.41666666666666702</v>
      </c>
      <c r="Q66">
        <v>60</v>
      </c>
      <c r="R66" s="3">
        <f t="shared" si="0"/>
        <v>0.6</v>
      </c>
    </row>
    <row r="67" spans="2:18">
      <c r="B67" s="144">
        <v>42064</v>
      </c>
      <c r="C67" s="139">
        <v>0.625</v>
      </c>
      <c r="D67">
        <v>274.8</v>
      </c>
      <c r="G67" s="144">
        <v>43951</v>
      </c>
      <c r="H67" s="139">
        <v>0.41666666666666702</v>
      </c>
      <c r="I67">
        <v>28.5</v>
      </c>
      <c r="K67" s="144">
        <v>43951</v>
      </c>
      <c r="L67" s="139">
        <v>0.41666666666666702</v>
      </c>
      <c r="M67">
        <v>2.056</v>
      </c>
      <c r="O67" s="144">
        <v>43951</v>
      </c>
      <c r="P67" s="139">
        <v>0.41666666666666702</v>
      </c>
      <c r="Q67">
        <v>69</v>
      </c>
      <c r="R67" s="3">
        <f t="shared" si="0"/>
        <v>0.69</v>
      </c>
    </row>
    <row r="68" spans="2:18">
      <c r="B68" s="144">
        <v>42064</v>
      </c>
      <c r="C68" s="139">
        <v>0.66666666666666696</v>
      </c>
      <c r="D68">
        <v>227.2</v>
      </c>
      <c r="G68" s="144">
        <v>43982</v>
      </c>
      <c r="H68" s="139">
        <v>0.41666666666666702</v>
      </c>
      <c r="I68">
        <v>28.3</v>
      </c>
      <c r="K68" s="144">
        <v>43982</v>
      </c>
      <c r="L68" s="139">
        <v>0.41666666666666702</v>
      </c>
      <c r="M68">
        <v>1.542</v>
      </c>
      <c r="O68" s="144">
        <v>43982</v>
      </c>
      <c r="P68" s="139">
        <v>0.41666666666666702</v>
      </c>
      <c r="Q68">
        <v>62</v>
      </c>
      <c r="R68" s="3">
        <f t="shared" si="0"/>
        <v>0.62</v>
      </c>
    </row>
    <row r="69" spans="2:18">
      <c r="B69" s="144">
        <v>42064</v>
      </c>
      <c r="C69" s="139">
        <v>0.70833333333333304</v>
      </c>
      <c r="D69">
        <v>130.19999999999999</v>
      </c>
      <c r="G69" s="144">
        <v>44012</v>
      </c>
      <c r="H69" s="139">
        <v>0.41666666666666702</v>
      </c>
      <c r="I69">
        <v>27.7</v>
      </c>
      <c r="K69" s="144">
        <v>44012</v>
      </c>
      <c r="L69" s="139">
        <v>0.41666666666666702</v>
      </c>
      <c r="M69">
        <v>2.056</v>
      </c>
      <c r="O69" s="144">
        <v>44012</v>
      </c>
      <c r="P69" s="139">
        <v>0.41666666666666702</v>
      </c>
      <c r="Q69">
        <v>69</v>
      </c>
      <c r="R69" s="3">
        <f>Q69/$R$3</f>
        <v>0.69</v>
      </c>
    </row>
    <row r="70" spans="2:18">
      <c r="B70" s="144">
        <v>42064</v>
      </c>
      <c r="C70" s="139">
        <v>0.75</v>
      </c>
      <c r="D70">
        <v>0</v>
      </c>
      <c r="G70" s="144">
        <v>44043</v>
      </c>
      <c r="H70" s="139">
        <v>0.41666666666666702</v>
      </c>
      <c r="I70">
        <v>27.7</v>
      </c>
      <c r="K70" s="144">
        <v>44043</v>
      </c>
      <c r="L70" s="139">
        <v>0.41666666666666702</v>
      </c>
      <c r="M70">
        <v>2.056</v>
      </c>
      <c r="O70" s="144">
        <v>44043</v>
      </c>
      <c r="P70" s="139">
        <v>0.41666666666666702</v>
      </c>
      <c r="Q70">
        <v>62</v>
      </c>
      <c r="R70" s="3">
        <f>Q70/$R$3</f>
        <v>0.62</v>
      </c>
    </row>
    <row r="71" spans="2:18">
      <c r="B71" s="144">
        <v>42064</v>
      </c>
      <c r="C71" s="139">
        <v>0.79166666666666696</v>
      </c>
      <c r="D71">
        <v>0</v>
      </c>
    </row>
    <row r="72" spans="2:18">
      <c r="B72" s="144">
        <v>42064</v>
      </c>
      <c r="C72" s="139">
        <v>0.83333333333333304</v>
      </c>
      <c r="D72">
        <v>0</v>
      </c>
    </row>
    <row r="73" spans="2:18">
      <c r="B73" s="144">
        <v>42064</v>
      </c>
      <c r="C73" s="139">
        <v>0.875</v>
      </c>
      <c r="D73">
        <v>0</v>
      </c>
    </row>
    <row r="74" spans="2:18">
      <c r="B74" s="144">
        <v>42064</v>
      </c>
      <c r="C74" s="139">
        <v>0.91666666666666696</v>
      </c>
      <c r="D74">
        <v>0</v>
      </c>
    </row>
    <row r="75" spans="2:18">
      <c r="B75" s="144">
        <v>42064</v>
      </c>
      <c r="C75" s="139">
        <v>0.95833333333333304</v>
      </c>
      <c r="D75">
        <v>0</v>
      </c>
    </row>
    <row r="76" spans="2:18">
      <c r="B76" s="144">
        <v>42095</v>
      </c>
      <c r="C76" s="139">
        <v>0</v>
      </c>
      <c r="D76">
        <v>0</v>
      </c>
    </row>
    <row r="77" spans="2:18">
      <c r="B77" s="144">
        <v>42095</v>
      </c>
      <c r="C77" s="139">
        <v>4.1666666666666664E-2</v>
      </c>
      <c r="D77">
        <v>0</v>
      </c>
    </row>
    <row r="78" spans="2:18">
      <c r="B78" s="144">
        <v>42095</v>
      </c>
      <c r="C78" s="139">
        <v>8.3333333333333301E-2</v>
      </c>
      <c r="D78">
        <v>0</v>
      </c>
    </row>
    <row r="79" spans="2:18">
      <c r="B79" s="144">
        <v>42095</v>
      </c>
      <c r="C79" s="139">
        <v>0.125</v>
      </c>
      <c r="D79">
        <v>0</v>
      </c>
    </row>
    <row r="80" spans="2:18">
      <c r="B80" s="144">
        <v>42095</v>
      </c>
      <c r="C80" s="139">
        <v>0.16666666666666699</v>
      </c>
      <c r="D80">
        <v>0</v>
      </c>
    </row>
    <row r="81" spans="2:4">
      <c r="B81" s="144">
        <v>42095</v>
      </c>
      <c r="C81" s="139">
        <v>0.20833333333333301</v>
      </c>
      <c r="D81">
        <v>0</v>
      </c>
    </row>
    <row r="82" spans="2:4">
      <c r="B82" s="144">
        <v>42095</v>
      </c>
      <c r="C82" s="139">
        <v>0.25</v>
      </c>
      <c r="D82">
        <v>55.5</v>
      </c>
    </row>
    <row r="83" spans="2:4">
      <c r="B83" s="144">
        <v>42095</v>
      </c>
      <c r="C83" s="139">
        <v>0.29166666666666702</v>
      </c>
      <c r="D83">
        <v>209.1</v>
      </c>
    </row>
    <row r="84" spans="2:4">
      <c r="B84" s="144">
        <v>42095</v>
      </c>
      <c r="C84" s="139">
        <v>0.33333333333333298</v>
      </c>
      <c r="D84">
        <v>278.60000000000002</v>
      </c>
    </row>
    <row r="85" spans="2:4">
      <c r="B85" s="144">
        <v>42095</v>
      </c>
      <c r="C85" s="139">
        <v>0.375</v>
      </c>
      <c r="D85">
        <v>296.10000000000002</v>
      </c>
    </row>
    <row r="86" spans="2:4">
      <c r="B86" s="144">
        <v>42095</v>
      </c>
      <c r="C86" s="139">
        <v>0.41666666666666702</v>
      </c>
      <c r="D86">
        <v>296.8</v>
      </c>
    </row>
    <row r="87" spans="2:4">
      <c r="B87" s="144">
        <v>42095</v>
      </c>
      <c r="C87" s="139">
        <v>0.45833333333333298</v>
      </c>
      <c r="D87">
        <v>313</v>
      </c>
    </row>
    <row r="88" spans="2:4">
      <c r="B88" s="144">
        <v>42095</v>
      </c>
      <c r="C88" s="139">
        <v>0.5</v>
      </c>
      <c r="D88">
        <v>275.5</v>
      </c>
    </row>
    <row r="89" spans="2:4">
      <c r="B89" s="144">
        <v>42095</v>
      </c>
      <c r="C89" s="139">
        <v>0.54166666666666696</v>
      </c>
      <c r="D89">
        <v>259.10000000000002</v>
      </c>
    </row>
    <row r="90" spans="2:4">
      <c r="B90" s="144">
        <v>42095</v>
      </c>
      <c r="C90" s="139">
        <v>0.58333333333333304</v>
      </c>
      <c r="D90">
        <v>266.7</v>
      </c>
    </row>
    <row r="91" spans="2:4">
      <c r="B91" s="144">
        <v>42095</v>
      </c>
      <c r="C91" s="139">
        <v>0.625</v>
      </c>
      <c r="D91">
        <v>250</v>
      </c>
    </row>
    <row r="92" spans="2:4">
      <c r="B92" s="144">
        <v>42095</v>
      </c>
      <c r="C92" s="139">
        <v>0.66666666666666696</v>
      </c>
      <c r="D92">
        <v>218.5</v>
      </c>
    </row>
    <row r="93" spans="2:4">
      <c r="B93" s="144">
        <v>42095</v>
      </c>
      <c r="C93" s="139">
        <v>0.70833333333333304</v>
      </c>
      <c r="D93">
        <v>88.1</v>
      </c>
    </row>
    <row r="94" spans="2:4">
      <c r="B94" s="144">
        <v>42095</v>
      </c>
      <c r="C94" s="139">
        <v>0.75</v>
      </c>
      <c r="D94">
        <v>0</v>
      </c>
    </row>
    <row r="95" spans="2:4">
      <c r="B95" s="144">
        <v>42095</v>
      </c>
      <c r="C95" s="139">
        <v>0.79166666666666696</v>
      </c>
      <c r="D95">
        <v>0</v>
      </c>
    </row>
    <row r="96" spans="2:4">
      <c r="B96" s="144">
        <v>42095</v>
      </c>
      <c r="C96" s="139">
        <v>0.83333333333333304</v>
      </c>
      <c r="D96">
        <v>0</v>
      </c>
    </row>
    <row r="97" spans="2:4">
      <c r="B97" s="144">
        <v>42095</v>
      </c>
      <c r="C97" s="139">
        <v>0.875</v>
      </c>
      <c r="D97">
        <v>0</v>
      </c>
    </row>
    <row r="98" spans="2:4">
      <c r="B98" s="144">
        <v>42095</v>
      </c>
      <c r="C98" s="139">
        <v>0.91666666666666696</v>
      </c>
      <c r="D98">
        <v>0</v>
      </c>
    </row>
    <row r="99" spans="2:4">
      <c r="B99" s="144">
        <v>42095</v>
      </c>
      <c r="C99" s="139">
        <v>0.95833333333333304</v>
      </c>
      <c r="D99">
        <v>0</v>
      </c>
    </row>
    <row r="100" spans="2:4">
      <c r="B100" s="144">
        <v>42125</v>
      </c>
      <c r="C100" s="139">
        <v>0</v>
      </c>
      <c r="D100">
        <v>0</v>
      </c>
    </row>
    <row r="101" spans="2:4">
      <c r="B101" s="144">
        <v>42125</v>
      </c>
      <c r="C101" s="139">
        <v>4.1666666666666664E-2</v>
      </c>
      <c r="D101">
        <v>0</v>
      </c>
    </row>
    <row r="102" spans="2:4">
      <c r="B102" s="144">
        <v>42125</v>
      </c>
      <c r="C102" s="139">
        <v>8.3333333333333301E-2</v>
      </c>
      <c r="D102">
        <v>0</v>
      </c>
    </row>
    <row r="103" spans="2:4">
      <c r="B103" s="144">
        <v>42125</v>
      </c>
      <c r="C103" s="139">
        <v>0.125</v>
      </c>
      <c r="D103">
        <v>0</v>
      </c>
    </row>
    <row r="104" spans="2:4">
      <c r="B104" s="144">
        <v>42125</v>
      </c>
      <c r="C104" s="139">
        <v>0.16666666666666699</v>
      </c>
      <c r="D104">
        <v>0</v>
      </c>
    </row>
    <row r="105" spans="2:4">
      <c r="B105" s="144">
        <v>42125</v>
      </c>
      <c r="C105" s="139">
        <v>0.20833333333333301</v>
      </c>
      <c r="D105">
        <v>0</v>
      </c>
    </row>
    <row r="106" spans="2:4">
      <c r="B106" s="144">
        <v>42125</v>
      </c>
      <c r="C106" s="139">
        <v>0.25</v>
      </c>
      <c r="D106">
        <v>83.6</v>
      </c>
    </row>
    <row r="107" spans="2:4">
      <c r="B107" s="144">
        <v>42125</v>
      </c>
      <c r="C107" s="139">
        <v>0.29166666666666702</v>
      </c>
      <c r="D107">
        <v>224.3</v>
      </c>
    </row>
    <row r="108" spans="2:4">
      <c r="B108" s="144">
        <v>42125</v>
      </c>
      <c r="C108" s="139">
        <v>0.33333333333333298</v>
      </c>
      <c r="D108">
        <v>283.3</v>
      </c>
    </row>
    <row r="109" spans="2:4">
      <c r="B109" s="144">
        <v>42125</v>
      </c>
      <c r="C109" s="139">
        <v>0.375</v>
      </c>
      <c r="D109">
        <v>289.39999999999998</v>
      </c>
    </row>
    <row r="110" spans="2:4">
      <c r="B110" s="144">
        <v>42125</v>
      </c>
      <c r="C110" s="139">
        <v>0.41666666666666702</v>
      </c>
      <c r="D110">
        <v>282.8</v>
      </c>
    </row>
    <row r="111" spans="2:4">
      <c r="B111" s="144">
        <v>42125</v>
      </c>
      <c r="C111" s="139">
        <v>0.45833333333333298</v>
      </c>
      <c r="D111">
        <v>286.60000000000002</v>
      </c>
    </row>
    <row r="112" spans="2:4">
      <c r="B112" s="144">
        <v>42125</v>
      </c>
      <c r="C112" s="139">
        <v>0.5</v>
      </c>
      <c r="D112">
        <v>270.5</v>
      </c>
    </row>
    <row r="113" spans="2:4">
      <c r="B113" s="144">
        <v>42125</v>
      </c>
      <c r="C113" s="139">
        <v>0.54166666666666696</v>
      </c>
      <c r="D113">
        <v>266.10000000000002</v>
      </c>
    </row>
    <row r="114" spans="2:4">
      <c r="B114" s="144">
        <v>42125</v>
      </c>
      <c r="C114" s="139">
        <v>0.58333333333333304</v>
      </c>
      <c r="D114">
        <v>246</v>
      </c>
    </row>
    <row r="115" spans="2:4">
      <c r="B115" s="144">
        <v>42125</v>
      </c>
      <c r="C115" s="139">
        <v>0.625</v>
      </c>
      <c r="D115">
        <v>224</v>
      </c>
    </row>
    <row r="116" spans="2:4">
      <c r="B116" s="144">
        <v>42125</v>
      </c>
      <c r="C116" s="139">
        <v>0.66666666666666696</v>
      </c>
      <c r="D116">
        <v>205.8</v>
      </c>
    </row>
    <row r="117" spans="2:4">
      <c r="B117" s="144">
        <v>42125</v>
      </c>
      <c r="C117" s="139">
        <v>0.70833333333333304</v>
      </c>
      <c r="D117">
        <v>89.4</v>
      </c>
    </row>
    <row r="118" spans="2:4">
      <c r="B118" s="144">
        <v>42125</v>
      </c>
      <c r="C118" s="139">
        <v>0.75</v>
      </c>
      <c r="D118">
        <v>0</v>
      </c>
    </row>
    <row r="119" spans="2:4">
      <c r="B119" s="144">
        <v>42125</v>
      </c>
      <c r="C119" s="139">
        <v>0.79166666666666696</v>
      </c>
      <c r="D119">
        <v>0</v>
      </c>
    </row>
    <row r="120" spans="2:4">
      <c r="B120" s="144">
        <v>42125</v>
      </c>
      <c r="C120" s="139">
        <v>0.83333333333333304</v>
      </c>
      <c r="D120">
        <v>0</v>
      </c>
    </row>
    <row r="121" spans="2:4">
      <c r="B121" s="144">
        <v>42125</v>
      </c>
      <c r="C121" s="139">
        <v>0.875</v>
      </c>
      <c r="D121">
        <v>0</v>
      </c>
    </row>
    <row r="122" spans="2:4">
      <c r="B122" s="144">
        <v>42125</v>
      </c>
      <c r="C122" s="139">
        <v>0.91666666666666696</v>
      </c>
      <c r="D122">
        <v>0</v>
      </c>
    </row>
    <row r="123" spans="2:4">
      <c r="B123" s="144">
        <v>42125</v>
      </c>
      <c r="C123" s="139">
        <v>0.95833333333333304</v>
      </c>
      <c r="D123">
        <v>0</v>
      </c>
    </row>
    <row r="124" spans="2:4">
      <c r="B124" s="144">
        <v>42156</v>
      </c>
      <c r="C124" s="139">
        <v>0</v>
      </c>
      <c r="D124">
        <v>0</v>
      </c>
    </row>
    <row r="125" spans="2:4">
      <c r="B125" s="144">
        <v>42156</v>
      </c>
      <c r="C125" s="139">
        <v>4.1666666666666664E-2</v>
      </c>
      <c r="D125">
        <v>0</v>
      </c>
    </row>
    <row r="126" spans="2:4">
      <c r="B126" s="144">
        <v>42156</v>
      </c>
      <c r="C126" s="139">
        <v>8.3333333333333301E-2</v>
      </c>
      <c r="D126">
        <v>0</v>
      </c>
    </row>
    <row r="127" spans="2:4">
      <c r="B127" s="144">
        <v>42156</v>
      </c>
      <c r="C127" s="139">
        <v>0.125</v>
      </c>
      <c r="D127">
        <v>0</v>
      </c>
    </row>
    <row r="128" spans="2:4">
      <c r="B128" s="144">
        <v>42156</v>
      </c>
      <c r="C128" s="139">
        <v>0.16666666666666699</v>
      </c>
      <c r="D128">
        <v>0</v>
      </c>
    </row>
    <row r="129" spans="2:4">
      <c r="B129" s="144">
        <v>42156</v>
      </c>
      <c r="C129" s="139">
        <v>0.20833333333333301</v>
      </c>
      <c r="D129">
        <v>0</v>
      </c>
    </row>
    <row r="130" spans="2:4">
      <c r="B130" s="144">
        <v>42156</v>
      </c>
      <c r="C130" s="139">
        <v>0.25</v>
      </c>
      <c r="D130">
        <v>58.4</v>
      </c>
    </row>
    <row r="131" spans="2:4">
      <c r="B131" s="144">
        <v>42156</v>
      </c>
      <c r="C131" s="139">
        <v>0.29166666666666702</v>
      </c>
      <c r="D131">
        <v>211.4</v>
      </c>
    </row>
    <row r="132" spans="2:4">
      <c r="B132" s="144">
        <v>42156</v>
      </c>
      <c r="C132" s="139">
        <v>0.33333333333333298</v>
      </c>
      <c r="D132">
        <v>253.1</v>
      </c>
    </row>
    <row r="133" spans="2:4">
      <c r="B133" s="144">
        <v>42156</v>
      </c>
      <c r="C133" s="139">
        <v>0.375</v>
      </c>
      <c r="D133">
        <v>262.2</v>
      </c>
    </row>
    <row r="134" spans="2:4">
      <c r="B134" s="144">
        <v>42156</v>
      </c>
      <c r="C134" s="139">
        <v>0.41666666666666702</v>
      </c>
      <c r="D134">
        <v>260.2</v>
      </c>
    </row>
    <row r="135" spans="2:4">
      <c r="B135" s="144">
        <v>42156</v>
      </c>
      <c r="C135" s="139">
        <v>0.45833333333333298</v>
      </c>
      <c r="D135">
        <v>259.7</v>
      </c>
    </row>
    <row r="136" spans="2:4">
      <c r="B136" s="144">
        <v>42156</v>
      </c>
      <c r="C136" s="139">
        <v>0.5</v>
      </c>
      <c r="D136">
        <v>269.10000000000002</v>
      </c>
    </row>
    <row r="137" spans="2:4">
      <c r="B137" s="144">
        <v>42156</v>
      </c>
      <c r="C137" s="139">
        <v>0.54166666666666696</v>
      </c>
      <c r="D137">
        <v>243.3</v>
      </c>
    </row>
    <row r="138" spans="2:4">
      <c r="B138" s="144">
        <v>42156</v>
      </c>
      <c r="C138" s="139">
        <v>0.58333333333333304</v>
      </c>
      <c r="D138">
        <v>220.1</v>
      </c>
    </row>
    <row r="139" spans="2:4">
      <c r="B139" s="144">
        <v>42156</v>
      </c>
      <c r="C139" s="139">
        <v>0.625</v>
      </c>
      <c r="D139">
        <v>204.8</v>
      </c>
    </row>
    <row r="140" spans="2:4">
      <c r="B140" s="144">
        <v>42156</v>
      </c>
      <c r="C140" s="139">
        <v>0.66666666666666696</v>
      </c>
      <c r="D140">
        <v>192.5</v>
      </c>
    </row>
    <row r="141" spans="2:4">
      <c r="B141" s="144">
        <v>42156</v>
      </c>
      <c r="C141" s="139">
        <v>0.70833333333333304</v>
      </c>
      <c r="D141">
        <v>80.8</v>
      </c>
    </row>
    <row r="142" spans="2:4">
      <c r="B142" s="144">
        <v>42156</v>
      </c>
      <c r="C142" s="139">
        <v>0.75</v>
      </c>
      <c r="D142">
        <v>0</v>
      </c>
    </row>
    <row r="143" spans="2:4">
      <c r="B143" s="144">
        <v>42156</v>
      </c>
      <c r="C143" s="139">
        <v>0.79166666666666696</v>
      </c>
      <c r="D143">
        <v>0</v>
      </c>
    </row>
    <row r="144" spans="2:4">
      <c r="B144" s="144">
        <v>42156</v>
      </c>
      <c r="C144" s="139">
        <v>0.83333333333333304</v>
      </c>
      <c r="D144">
        <v>0</v>
      </c>
    </row>
    <row r="145" spans="2:4">
      <c r="B145" s="144">
        <v>42156</v>
      </c>
      <c r="C145" s="139">
        <v>0.875</v>
      </c>
      <c r="D145">
        <v>0</v>
      </c>
    </row>
    <row r="146" spans="2:4">
      <c r="B146" s="144">
        <v>42156</v>
      </c>
      <c r="C146" s="139">
        <v>0.91666666666666696</v>
      </c>
      <c r="D146">
        <v>0</v>
      </c>
    </row>
    <row r="147" spans="2:4">
      <c r="B147" s="144">
        <v>42156</v>
      </c>
      <c r="C147" s="139">
        <v>0.95833333333333304</v>
      </c>
      <c r="D147">
        <v>0</v>
      </c>
    </row>
    <row r="148" spans="2:4">
      <c r="B148" s="144">
        <v>42186</v>
      </c>
      <c r="C148" s="139">
        <v>0</v>
      </c>
      <c r="D148">
        <v>0</v>
      </c>
    </row>
    <row r="149" spans="2:4">
      <c r="B149" s="144">
        <v>42186</v>
      </c>
      <c r="C149" s="139">
        <v>4.1666666666666664E-2</v>
      </c>
      <c r="D149">
        <v>0</v>
      </c>
    </row>
    <row r="150" spans="2:4">
      <c r="B150" s="144">
        <v>42186</v>
      </c>
      <c r="C150" s="139">
        <v>8.3333333333333301E-2</v>
      </c>
      <c r="D150">
        <v>0</v>
      </c>
    </row>
    <row r="151" spans="2:4">
      <c r="B151" s="144">
        <v>42186</v>
      </c>
      <c r="C151" s="139">
        <v>0.125</v>
      </c>
      <c r="D151">
        <v>0</v>
      </c>
    </row>
    <row r="152" spans="2:4">
      <c r="B152" s="144">
        <v>42186</v>
      </c>
      <c r="C152" s="139">
        <v>0.16666666666666699</v>
      </c>
      <c r="D152">
        <v>0</v>
      </c>
    </row>
    <row r="153" spans="2:4">
      <c r="B153" s="144">
        <v>42186</v>
      </c>
      <c r="C153" s="139">
        <v>0.20833333333333301</v>
      </c>
      <c r="D153">
        <v>0</v>
      </c>
    </row>
    <row r="154" spans="2:4">
      <c r="B154" s="144">
        <v>42186</v>
      </c>
      <c r="C154" s="139">
        <v>0.25</v>
      </c>
      <c r="D154">
        <v>34.200000000000003</v>
      </c>
    </row>
    <row r="155" spans="2:4">
      <c r="B155" s="144">
        <v>42186</v>
      </c>
      <c r="C155" s="139">
        <v>0.29166666666666702</v>
      </c>
      <c r="D155">
        <v>202.1</v>
      </c>
    </row>
    <row r="156" spans="2:4">
      <c r="B156" s="144">
        <v>42186</v>
      </c>
      <c r="C156" s="139">
        <v>0.33333333333333298</v>
      </c>
      <c r="D156">
        <v>258.89999999999998</v>
      </c>
    </row>
    <row r="157" spans="2:4">
      <c r="B157" s="144">
        <v>42186</v>
      </c>
      <c r="C157" s="139">
        <v>0.375</v>
      </c>
      <c r="D157">
        <v>252.9</v>
      </c>
    </row>
    <row r="158" spans="2:4">
      <c r="B158" s="144">
        <v>42186</v>
      </c>
      <c r="C158" s="139">
        <v>0.41666666666666702</v>
      </c>
      <c r="D158">
        <v>241.5</v>
      </c>
    </row>
    <row r="159" spans="2:4">
      <c r="B159" s="144">
        <v>42186</v>
      </c>
      <c r="C159" s="139">
        <v>0.45833333333333298</v>
      </c>
      <c r="D159">
        <v>261.7</v>
      </c>
    </row>
    <row r="160" spans="2:4">
      <c r="B160" s="144">
        <v>42186</v>
      </c>
      <c r="C160" s="139">
        <v>0.5</v>
      </c>
      <c r="D160">
        <v>267</v>
      </c>
    </row>
    <row r="161" spans="2:4">
      <c r="B161" s="144">
        <v>42186</v>
      </c>
      <c r="C161" s="139">
        <v>0.54166666666666696</v>
      </c>
      <c r="D161">
        <v>258.5</v>
      </c>
    </row>
    <row r="162" spans="2:4">
      <c r="B162" s="144">
        <v>42186</v>
      </c>
      <c r="C162" s="139">
        <v>0.58333333333333304</v>
      </c>
      <c r="D162">
        <v>248.8</v>
      </c>
    </row>
    <row r="163" spans="2:4">
      <c r="B163" s="144">
        <v>42186</v>
      </c>
      <c r="C163" s="139">
        <v>0.625</v>
      </c>
      <c r="D163">
        <v>231.9</v>
      </c>
    </row>
    <row r="164" spans="2:4">
      <c r="B164" s="144">
        <v>42186</v>
      </c>
      <c r="C164" s="139">
        <v>0.66666666666666696</v>
      </c>
      <c r="D164">
        <v>213.9</v>
      </c>
    </row>
    <row r="165" spans="2:4">
      <c r="B165" s="144">
        <v>42186</v>
      </c>
      <c r="C165" s="139">
        <v>0.70833333333333304</v>
      </c>
      <c r="D165">
        <v>128.5</v>
      </c>
    </row>
    <row r="166" spans="2:4">
      <c r="B166" s="144">
        <v>42186</v>
      </c>
      <c r="C166" s="139">
        <v>0.75</v>
      </c>
      <c r="D166">
        <v>0</v>
      </c>
    </row>
    <row r="167" spans="2:4">
      <c r="B167" s="144">
        <v>42186</v>
      </c>
      <c r="C167" s="139">
        <v>0.79166666666666696</v>
      </c>
      <c r="D167">
        <v>0</v>
      </c>
    </row>
    <row r="168" spans="2:4">
      <c r="B168" s="144">
        <v>42186</v>
      </c>
      <c r="C168" s="139">
        <v>0.83333333333333304</v>
      </c>
      <c r="D168">
        <v>0</v>
      </c>
    </row>
    <row r="169" spans="2:4">
      <c r="B169" s="144">
        <v>42186</v>
      </c>
      <c r="C169" s="139">
        <v>0.875</v>
      </c>
      <c r="D169">
        <v>0</v>
      </c>
    </row>
    <row r="170" spans="2:4">
      <c r="B170" s="144">
        <v>42186</v>
      </c>
      <c r="C170" s="139">
        <v>0.91666666666666696</v>
      </c>
      <c r="D170">
        <v>0</v>
      </c>
    </row>
    <row r="171" spans="2:4">
      <c r="B171" s="144">
        <v>42186</v>
      </c>
      <c r="C171" s="139">
        <v>0.95833333333333304</v>
      </c>
      <c r="D171">
        <v>0</v>
      </c>
    </row>
    <row r="172" spans="2:4">
      <c r="B172" s="144">
        <v>42217</v>
      </c>
      <c r="C172" s="139">
        <v>0</v>
      </c>
      <c r="D172">
        <v>0</v>
      </c>
    </row>
    <row r="173" spans="2:4">
      <c r="B173" s="144">
        <v>42217</v>
      </c>
      <c r="C173" s="139">
        <v>4.1666666666666664E-2</v>
      </c>
      <c r="D173">
        <v>0</v>
      </c>
    </row>
    <row r="174" spans="2:4">
      <c r="B174" s="144">
        <v>42217</v>
      </c>
      <c r="C174" s="139">
        <v>8.3333333333333301E-2</v>
      </c>
      <c r="D174">
        <v>0</v>
      </c>
    </row>
    <row r="175" spans="2:4">
      <c r="B175" s="144">
        <v>42217</v>
      </c>
      <c r="C175" s="139">
        <v>0.125</v>
      </c>
      <c r="D175">
        <v>0</v>
      </c>
    </row>
    <row r="176" spans="2:4">
      <c r="B176" s="144">
        <v>42217</v>
      </c>
      <c r="C176" s="139">
        <v>0.16666666666666699</v>
      </c>
      <c r="D176">
        <v>0</v>
      </c>
    </row>
    <row r="177" spans="2:4">
      <c r="B177" s="144">
        <v>42217</v>
      </c>
      <c r="C177" s="139">
        <v>0.20833333333333301</v>
      </c>
      <c r="D177">
        <v>0</v>
      </c>
    </row>
    <row r="178" spans="2:4">
      <c r="B178" s="144">
        <v>42217</v>
      </c>
      <c r="C178" s="139">
        <v>0.25</v>
      </c>
      <c r="D178">
        <v>33.1</v>
      </c>
    </row>
    <row r="179" spans="2:4">
      <c r="B179" s="144">
        <v>42217</v>
      </c>
      <c r="C179" s="139">
        <v>0.29166666666666702</v>
      </c>
      <c r="D179">
        <v>198.4</v>
      </c>
    </row>
    <row r="180" spans="2:4">
      <c r="B180" s="144">
        <v>42217</v>
      </c>
      <c r="C180" s="139">
        <v>0.33333333333333298</v>
      </c>
      <c r="D180">
        <v>260.5</v>
      </c>
    </row>
    <row r="181" spans="2:4">
      <c r="B181" s="144">
        <v>42217</v>
      </c>
      <c r="C181" s="139">
        <v>0.375</v>
      </c>
      <c r="D181">
        <v>242.9</v>
      </c>
    </row>
    <row r="182" spans="2:4">
      <c r="B182" s="144">
        <v>42217</v>
      </c>
      <c r="C182" s="139">
        <v>0.41666666666666702</v>
      </c>
      <c r="D182">
        <v>228.4</v>
      </c>
    </row>
    <row r="183" spans="2:4">
      <c r="B183" s="144">
        <v>42217</v>
      </c>
      <c r="C183" s="139">
        <v>0.45833333333333298</v>
      </c>
      <c r="D183">
        <v>234.3</v>
      </c>
    </row>
    <row r="184" spans="2:4">
      <c r="B184" s="144">
        <v>42217</v>
      </c>
      <c r="C184" s="139">
        <v>0.5</v>
      </c>
      <c r="D184">
        <v>228</v>
      </c>
    </row>
    <row r="185" spans="2:4">
      <c r="B185" s="144">
        <v>42217</v>
      </c>
      <c r="C185" s="139">
        <v>0.54166666666666696</v>
      </c>
      <c r="D185">
        <v>230.9</v>
      </c>
    </row>
    <row r="186" spans="2:4">
      <c r="B186" s="144">
        <v>42217</v>
      </c>
      <c r="C186" s="139">
        <v>0.58333333333333304</v>
      </c>
      <c r="D186">
        <v>239.2</v>
      </c>
    </row>
    <row r="187" spans="2:4">
      <c r="B187" s="144">
        <v>42217</v>
      </c>
      <c r="C187" s="139">
        <v>0.625</v>
      </c>
      <c r="D187">
        <v>248.3</v>
      </c>
    </row>
    <row r="188" spans="2:4">
      <c r="B188" s="144">
        <v>42217</v>
      </c>
      <c r="C188" s="139">
        <v>0.66666666666666696</v>
      </c>
      <c r="D188">
        <v>229.2</v>
      </c>
    </row>
    <row r="189" spans="2:4">
      <c r="B189" s="144">
        <v>42217</v>
      </c>
      <c r="C189" s="139">
        <v>0.70833333333333304</v>
      </c>
      <c r="D189">
        <v>132.4</v>
      </c>
    </row>
    <row r="190" spans="2:4">
      <c r="B190" s="144">
        <v>42217</v>
      </c>
      <c r="C190" s="139">
        <v>0.75</v>
      </c>
      <c r="D190">
        <v>0</v>
      </c>
    </row>
    <row r="191" spans="2:4">
      <c r="B191" s="144">
        <v>42217</v>
      </c>
      <c r="C191" s="139">
        <v>0.79166666666666696</v>
      </c>
      <c r="D191">
        <v>0</v>
      </c>
    </row>
    <row r="192" spans="2:4">
      <c r="B192" s="144">
        <v>42217</v>
      </c>
      <c r="C192" s="139">
        <v>0.83333333333333304</v>
      </c>
      <c r="D192">
        <v>0</v>
      </c>
    </row>
    <row r="193" spans="2:4">
      <c r="B193" s="144">
        <v>42217</v>
      </c>
      <c r="C193" s="139">
        <v>0.875</v>
      </c>
      <c r="D193">
        <v>0</v>
      </c>
    </row>
    <row r="194" spans="2:4">
      <c r="B194" s="144">
        <v>42217</v>
      </c>
      <c r="C194" s="139">
        <v>0.91666666666666696</v>
      </c>
      <c r="D194">
        <v>0</v>
      </c>
    </row>
    <row r="195" spans="2:4">
      <c r="B195" s="144">
        <v>42217</v>
      </c>
      <c r="C195" s="139">
        <v>0.95833333333333304</v>
      </c>
      <c r="D195">
        <v>0</v>
      </c>
    </row>
    <row r="196" spans="2:4">
      <c r="B196" s="144">
        <v>42248</v>
      </c>
      <c r="C196" s="139">
        <v>0</v>
      </c>
      <c r="D196">
        <v>0</v>
      </c>
    </row>
    <row r="197" spans="2:4">
      <c r="B197" s="144">
        <v>42248</v>
      </c>
      <c r="C197" s="139">
        <v>4.1666666666666664E-2</v>
      </c>
      <c r="D197">
        <v>0</v>
      </c>
    </row>
    <row r="198" spans="2:4">
      <c r="B198" s="144">
        <v>42248</v>
      </c>
      <c r="C198" s="139">
        <v>8.3333333333333301E-2</v>
      </c>
      <c r="D198">
        <v>0</v>
      </c>
    </row>
    <row r="199" spans="2:4">
      <c r="B199" s="144">
        <v>42248</v>
      </c>
      <c r="C199" s="139">
        <v>0.125</v>
      </c>
      <c r="D199">
        <v>0</v>
      </c>
    </row>
    <row r="200" spans="2:4">
      <c r="B200" s="144">
        <v>42248</v>
      </c>
      <c r="C200" s="139">
        <v>0.16666666666666699</v>
      </c>
      <c r="D200">
        <v>0</v>
      </c>
    </row>
    <row r="201" spans="2:4">
      <c r="B201" s="144">
        <v>42248</v>
      </c>
      <c r="C201" s="139">
        <v>0.20833333333333301</v>
      </c>
      <c r="D201">
        <v>0</v>
      </c>
    </row>
    <row r="202" spans="2:4">
      <c r="B202" s="144">
        <v>42248</v>
      </c>
      <c r="C202" s="139">
        <v>0.25</v>
      </c>
      <c r="D202">
        <v>66.5</v>
      </c>
    </row>
    <row r="203" spans="2:4">
      <c r="B203" s="144">
        <v>42248</v>
      </c>
      <c r="C203" s="139">
        <v>0.29166666666666702</v>
      </c>
      <c r="D203">
        <v>191.6</v>
      </c>
    </row>
    <row r="204" spans="2:4">
      <c r="B204" s="144">
        <v>42248</v>
      </c>
      <c r="C204" s="139">
        <v>0.33333333333333298</v>
      </c>
      <c r="D204">
        <v>248.9</v>
      </c>
    </row>
    <row r="205" spans="2:4">
      <c r="B205" s="144">
        <v>42248</v>
      </c>
      <c r="C205" s="139">
        <v>0.375</v>
      </c>
      <c r="D205">
        <v>237.6</v>
      </c>
    </row>
    <row r="206" spans="2:4">
      <c r="B206" s="144">
        <v>42248</v>
      </c>
      <c r="C206" s="139">
        <v>0.41666666666666702</v>
      </c>
      <c r="D206">
        <v>236.6</v>
      </c>
    </row>
    <row r="207" spans="2:4">
      <c r="B207" s="144">
        <v>42248</v>
      </c>
      <c r="C207" s="139">
        <v>0.45833333333333298</v>
      </c>
      <c r="D207">
        <v>262.60000000000002</v>
      </c>
    </row>
    <row r="208" spans="2:4">
      <c r="B208" s="144">
        <v>42248</v>
      </c>
      <c r="C208" s="139">
        <v>0.5</v>
      </c>
      <c r="D208">
        <v>258.10000000000002</v>
      </c>
    </row>
    <row r="209" spans="2:4">
      <c r="B209" s="144">
        <v>42248</v>
      </c>
      <c r="C209" s="139">
        <v>0.54166666666666696</v>
      </c>
      <c r="D209">
        <v>279.60000000000002</v>
      </c>
    </row>
    <row r="210" spans="2:4">
      <c r="B210" s="144">
        <v>42248</v>
      </c>
      <c r="C210" s="139">
        <v>0.58333333333333304</v>
      </c>
      <c r="D210">
        <v>261.2</v>
      </c>
    </row>
    <row r="211" spans="2:4">
      <c r="B211" s="144">
        <v>42248</v>
      </c>
      <c r="C211" s="139">
        <v>0.625</v>
      </c>
      <c r="D211">
        <v>240.7</v>
      </c>
    </row>
    <row r="212" spans="2:4">
      <c r="B212" s="144">
        <v>42248</v>
      </c>
      <c r="C212" s="139">
        <v>0.66666666666666696</v>
      </c>
      <c r="D212">
        <v>192</v>
      </c>
    </row>
    <row r="213" spans="2:4">
      <c r="B213" s="144">
        <v>42248</v>
      </c>
      <c r="C213" s="139">
        <v>0.70833333333333304</v>
      </c>
      <c r="D213">
        <v>69.599999999999994</v>
      </c>
    </row>
    <row r="214" spans="2:4">
      <c r="B214" s="144">
        <v>42248</v>
      </c>
      <c r="C214" s="139">
        <v>0.75</v>
      </c>
      <c r="D214">
        <v>0</v>
      </c>
    </row>
    <row r="215" spans="2:4">
      <c r="B215" s="144">
        <v>42248</v>
      </c>
      <c r="C215" s="139">
        <v>0.79166666666666696</v>
      </c>
      <c r="D215">
        <v>0</v>
      </c>
    </row>
    <row r="216" spans="2:4">
      <c r="B216" s="144">
        <v>42248</v>
      </c>
      <c r="C216" s="139">
        <v>0.83333333333333304</v>
      </c>
      <c r="D216">
        <v>0</v>
      </c>
    </row>
    <row r="217" spans="2:4">
      <c r="B217" s="144">
        <v>42248</v>
      </c>
      <c r="C217" s="139">
        <v>0.875</v>
      </c>
      <c r="D217">
        <v>0</v>
      </c>
    </row>
    <row r="218" spans="2:4">
      <c r="B218" s="144">
        <v>42248</v>
      </c>
      <c r="C218" s="139">
        <v>0.91666666666666696</v>
      </c>
      <c r="D218">
        <v>0</v>
      </c>
    </row>
    <row r="219" spans="2:4">
      <c r="B219" s="144">
        <v>42248</v>
      </c>
      <c r="C219" s="139">
        <v>0.95833333333333304</v>
      </c>
      <c r="D219">
        <v>0</v>
      </c>
    </row>
    <row r="220" spans="2:4">
      <c r="B220" s="144">
        <v>42278</v>
      </c>
      <c r="C220" s="139">
        <v>0</v>
      </c>
      <c r="D220">
        <v>0</v>
      </c>
    </row>
    <row r="221" spans="2:4">
      <c r="B221" s="144">
        <v>42278</v>
      </c>
      <c r="C221" s="139">
        <v>4.1666666666666664E-2</v>
      </c>
      <c r="D221">
        <v>0</v>
      </c>
    </row>
    <row r="222" spans="2:4">
      <c r="B222" s="144">
        <v>42278</v>
      </c>
      <c r="C222" s="139">
        <v>8.3333333333333301E-2</v>
      </c>
      <c r="D222">
        <v>0</v>
      </c>
    </row>
    <row r="223" spans="2:4">
      <c r="B223" s="144">
        <v>42278</v>
      </c>
      <c r="C223" s="139">
        <v>0.125</v>
      </c>
      <c r="D223">
        <v>0</v>
      </c>
    </row>
    <row r="224" spans="2:4">
      <c r="B224" s="144">
        <v>42278</v>
      </c>
      <c r="C224" s="139">
        <v>0.16666666666666699</v>
      </c>
      <c r="D224">
        <v>0</v>
      </c>
    </row>
    <row r="225" spans="2:4">
      <c r="B225" s="144">
        <v>42278</v>
      </c>
      <c r="C225" s="139">
        <v>0.20833333333333301</v>
      </c>
      <c r="D225">
        <v>0</v>
      </c>
    </row>
    <row r="226" spans="2:4">
      <c r="B226" s="144">
        <v>42278</v>
      </c>
      <c r="C226" s="139">
        <v>0.25</v>
      </c>
      <c r="D226">
        <v>83.1</v>
      </c>
    </row>
    <row r="227" spans="2:4">
      <c r="B227" s="144">
        <v>42278</v>
      </c>
      <c r="C227" s="139">
        <v>0.29166666666666702</v>
      </c>
      <c r="D227">
        <v>188.4</v>
      </c>
    </row>
    <row r="228" spans="2:4">
      <c r="B228" s="144">
        <v>42278</v>
      </c>
      <c r="C228" s="139">
        <v>0.33333333333333298</v>
      </c>
      <c r="D228">
        <v>243.2</v>
      </c>
    </row>
    <row r="229" spans="2:4">
      <c r="B229" s="144">
        <v>42278</v>
      </c>
      <c r="C229" s="139">
        <v>0.375</v>
      </c>
      <c r="D229">
        <v>259.8</v>
      </c>
    </row>
    <row r="230" spans="2:4">
      <c r="B230" s="144">
        <v>42278</v>
      </c>
      <c r="C230" s="139">
        <v>0.41666666666666702</v>
      </c>
      <c r="D230">
        <v>260.39999999999998</v>
      </c>
    </row>
    <row r="231" spans="2:4">
      <c r="B231" s="144">
        <v>42278</v>
      </c>
      <c r="C231" s="139">
        <v>0.45833333333333298</v>
      </c>
      <c r="D231">
        <v>258.5</v>
      </c>
    </row>
    <row r="232" spans="2:4">
      <c r="B232" s="144">
        <v>42278</v>
      </c>
      <c r="C232" s="139">
        <v>0.5</v>
      </c>
      <c r="D232">
        <v>236.6</v>
      </c>
    </row>
    <row r="233" spans="2:4">
      <c r="B233" s="144">
        <v>42278</v>
      </c>
      <c r="C233" s="139">
        <v>0.54166666666666696</v>
      </c>
      <c r="D233">
        <v>251.9</v>
      </c>
    </row>
    <row r="234" spans="2:4">
      <c r="B234" s="144">
        <v>42278</v>
      </c>
      <c r="C234" s="139">
        <v>0.58333333333333304</v>
      </c>
      <c r="D234">
        <v>245.3</v>
      </c>
    </row>
    <row r="235" spans="2:4">
      <c r="B235" s="144">
        <v>42278</v>
      </c>
      <c r="C235" s="139">
        <v>0.625</v>
      </c>
      <c r="D235">
        <v>211.3</v>
      </c>
    </row>
    <row r="236" spans="2:4">
      <c r="B236" s="144">
        <v>42278</v>
      </c>
      <c r="C236" s="139">
        <v>0.66666666666666696</v>
      </c>
      <c r="D236">
        <v>172.2</v>
      </c>
    </row>
    <row r="237" spans="2:4">
      <c r="B237" s="144">
        <v>42278</v>
      </c>
      <c r="C237" s="139">
        <v>0.70833333333333304</v>
      </c>
      <c r="D237">
        <v>58.3</v>
      </c>
    </row>
    <row r="238" spans="2:4">
      <c r="B238" s="144">
        <v>42278</v>
      </c>
      <c r="C238" s="139">
        <v>0.75</v>
      </c>
      <c r="D238">
        <v>0</v>
      </c>
    </row>
    <row r="239" spans="2:4">
      <c r="B239" s="144">
        <v>42278</v>
      </c>
      <c r="C239" s="139">
        <v>0.79166666666666696</v>
      </c>
      <c r="D239">
        <v>0</v>
      </c>
    </row>
    <row r="240" spans="2:4">
      <c r="B240" s="144">
        <v>42278</v>
      </c>
      <c r="C240" s="139">
        <v>0.83333333333333304</v>
      </c>
      <c r="D240">
        <v>0</v>
      </c>
    </row>
    <row r="241" spans="2:4">
      <c r="B241" s="144">
        <v>42278</v>
      </c>
      <c r="C241" s="139">
        <v>0.875</v>
      </c>
      <c r="D241">
        <v>0</v>
      </c>
    </row>
    <row r="242" spans="2:4">
      <c r="B242" s="144">
        <v>42278</v>
      </c>
      <c r="C242" s="139">
        <v>0.91666666666666696</v>
      </c>
      <c r="D242">
        <v>0</v>
      </c>
    </row>
    <row r="243" spans="2:4">
      <c r="B243" s="144">
        <v>42278</v>
      </c>
      <c r="C243" s="139">
        <v>0.95833333333333304</v>
      </c>
      <c r="D243">
        <v>0</v>
      </c>
    </row>
    <row r="244" spans="2:4">
      <c r="B244" s="144">
        <v>42309</v>
      </c>
      <c r="C244" s="139">
        <v>0</v>
      </c>
      <c r="D244">
        <v>0</v>
      </c>
    </row>
    <row r="245" spans="2:4">
      <c r="B245" s="144">
        <v>42309</v>
      </c>
      <c r="C245" s="139">
        <v>4.1666666666666664E-2</v>
      </c>
      <c r="D245">
        <v>0</v>
      </c>
    </row>
    <row r="246" spans="2:4">
      <c r="B246" s="144">
        <v>42309</v>
      </c>
      <c r="C246" s="139">
        <v>8.3333333333333301E-2</v>
      </c>
      <c r="D246">
        <v>0</v>
      </c>
    </row>
    <row r="247" spans="2:4">
      <c r="B247" s="144">
        <v>42309</v>
      </c>
      <c r="C247" s="139">
        <v>0.125</v>
      </c>
      <c r="D247">
        <v>0</v>
      </c>
    </row>
    <row r="248" spans="2:4">
      <c r="B248" s="144">
        <v>42309</v>
      </c>
      <c r="C248" s="139">
        <v>0.16666666666666699</v>
      </c>
      <c r="D248">
        <v>0</v>
      </c>
    </row>
    <row r="249" spans="2:4">
      <c r="B249" s="144">
        <v>42309</v>
      </c>
      <c r="C249" s="139">
        <v>0.20833333333333301</v>
      </c>
      <c r="D249">
        <v>0</v>
      </c>
    </row>
    <row r="250" spans="2:4">
      <c r="B250" s="144">
        <v>42309</v>
      </c>
      <c r="C250" s="139">
        <v>0.25</v>
      </c>
      <c r="D250">
        <v>106</v>
      </c>
    </row>
    <row r="251" spans="2:4">
      <c r="B251" s="144">
        <v>42309</v>
      </c>
      <c r="C251" s="139">
        <v>0.29166666666666702</v>
      </c>
      <c r="D251">
        <v>205.4</v>
      </c>
    </row>
    <row r="252" spans="2:4">
      <c r="B252" s="144">
        <v>42309</v>
      </c>
      <c r="C252" s="139">
        <v>0.33333333333333298</v>
      </c>
      <c r="D252">
        <v>248</v>
      </c>
    </row>
    <row r="253" spans="2:4">
      <c r="B253" s="144">
        <v>42309</v>
      </c>
      <c r="C253" s="139">
        <v>0.375</v>
      </c>
      <c r="D253">
        <v>257.3</v>
      </c>
    </row>
    <row r="254" spans="2:4">
      <c r="B254" s="144">
        <v>42309</v>
      </c>
      <c r="C254" s="139">
        <v>0.41666666666666702</v>
      </c>
      <c r="D254">
        <v>245.2</v>
      </c>
    </row>
    <row r="255" spans="2:4">
      <c r="B255" s="144">
        <v>42309</v>
      </c>
      <c r="C255" s="139">
        <v>0.45833333333333298</v>
      </c>
      <c r="D255">
        <v>241.9</v>
      </c>
    </row>
    <row r="256" spans="2:4">
      <c r="B256" s="144">
        <v>42309</v>
      </c>
      <c r="C256" s="139">
        <v>0.5</v>
      </c>
      <c r="D256">
        <v>235.8</v>
      </c>
    </row>
    <row r="257" spans="2:4">
      <c r="B257" s="144">
        <v>42309</v>
      </c>
      <c r="C257" s="139">
        <v>0.54166666666666696</v>
      </c>
      <c r="D257">
        <v>224.7</v>
      </c>
    </row>
    <row r="258" spans="2:4">
      <c r="B258" s="144">
        <v>42309</v>
      </c>
      <c r="C258" s="139">
        <v>0.58333333333333304</v>
      </c>
      <c r="D258">
        <v>215.2</v>
      </c>
    </row>
    <row r="259" spans="2:4">
      <c r="B259" s="144">
        <v>42309</v>
      </c>
      <c r="C259" s="139">
        <v>0.625</v>
      </c>
      <c r="D259">
        <v>200</v>
      </c>
    </row>
    <row r="260" spans="2:4">
      <c r="B260" s="144">
        <v>42309</v>
      </c>
      <c r="C260" s="139">
        <v>0.66666666666666696</v>
      </c>
      <c r="D260">
        <v>177.9</v>
      </c>
    </row>
    <row r="261" spans="2:4">
      <c r="B261" s="144">
        <v>42309</v>
      </c>
      <c r="C261" s="139">
        <v>0.70833333333333304</v>
      </c>
      <c r="D261">
        <v>68.599999999999994</v>
      </c>
    </row>
    <row r="262" spans="2:4">
      <c r="B262" s="144">
        <v>42309</v>
      </c>
      <c r="C262" s="139">
        <v>0.75</v>
      </c>
      <c r="D262">
        <v>0</v>
      </c>
    </row>
    <row r="263" spans="2:4">
      <c r="B263" s="144">
        <v>42309</v>
      </c>
      <c r="C263" s="139">
        <v>0.79166666666666696</v>
      </c>
      <c r="D263">
        <v>0</v>
      </c>
    </row>
    <row r="264" spans="2:4">
      <c r="B264" s="144">
        <v>42309</v>
      </c>
      <c r="C264" s="139">
        <v>0.83333333333333304</v>
      </c>
      <c r="D264">
        <v>0</v>
      </c>
    </row>
    <row r="265" spans="2:4">
      <c r="B265" s="144">
        <v>42309</v>
      </c>
      <c r="C265" s="139">
        <v>0.875</v>
      </c>
      <c r="D265">
        <v>0</v>
      </c>
    </row>
    <row r="266" spans="2:4">
      <c r="B266" s="144">
        <v>42309</v>
      </c>
      <c r="C266" s="139">
        <v>0.91666666666666696</v>
      </c>
      <c r="D266">
        <v>0</v>
      </c>
    </row>
    <row r="267" spans="2:4">
      <c r="B267" s="144">
        <v>42309</v>
      </c>
      <c r="C267" s="139">
        <v>0.95833333333333304</v>
      </c>
      <c r="D267">
        <v>0</v>
      </c>
    </row>
    <row r="268" spans="2:4">
      <c r="B268" s="144">
        <v>42339</v>
      </c>
      <c r="C268" s="139">
        <v>0</v>
      </c>
      <c r="D268">
        <v>0</v>
      </c>
    </row>
    <row r="269" spans="2:4">
      <c r="B269" s="144">
        <v>42339</v>
      </c>
      <c r="C269" s="139">
        <v>4.1666666666666664E-2</v>
      </c>
      <c r="D269">
        <v>0</v>
      </c>
    </row>
    <row r="270" spans="2:4">
      <c r="B270" s="144">
        <v>42339</v>
      </c>
      <c r="C270" s="139">
        <v>8.3333333333333301E-2</v>
      </c>
      <c r="D270">
        <v>0</v>
      </c>
    </row>
    <row r="271" spans="2:4">
      <c r="B271" s="144">
        <v>42339</v>
      </c>
      <c r="C271" s="139">
        <v>0.125</v>
      </c>
      <c r="D271">
        <v>0</v>
      </c>
    </row>
    <row r="272" spans="2:4">
      <c r="B272" s="144">
        <v>42339</v>
      </c>
      <c r="C272" s="139">
        <v>0.16666666666666699</v>
      </c>
      <c r="D272">
        <v>0</v>
      </c>
    </row>
    <row r="273" spans="2:4">
      <c r="B273" s="144">
        <v>42339</v>
      </c>
      <c r="C273" s="139">
        <v>0.20833333333333301</v>
      </c>
      <c r="D273">
        <v>0</v>
      </c>
    </row>
    <row r="274" spans="2:4">
      <c r="B274" s="144">
        <v>42339</v>
      </c>
      <c r="C274" s="139">
        <v>0.25</v>
      </c>
      <c r="D274">
        <v>63.7</v>
      </c>
    </row>
    <row r="275" spans="2:4">
      <c r="B275" s="144">
        <v>42339</v>
      </c>
      <c r="C275" s="139">
        <v>0.29166666666666702</v>
      </c>
      <c r="D275">
        <v>159.5</v>
      </c>
    </row>
    <row r="276" spans="2:4">
      <c r="B276" s="144">
        <v>42339</v>
      </c>
      <c r="C276" s="139">
        <v>0.33333333333333298</v>
      </c>
      <c r="D276">
        <v>207.1</v>
      </c>
    </row>
    <row r="277" spans="2:4">
      <c r="B277" s="144">
        <v>42339</v>
      </c>
      <c r="C277" s="139">
        <v>0.375</v>
      </c>
      <c r="D277">
        <v>241.5</v>
      </c>
    </row>
    <row r="278" spans="2:4">
      <c r="B278" s="144">
        <v>42339</v>
      </c>
      <c r="C278" s="139">
        <v>0.41666666666666702</v>
      </c>
      <c r="D278">
        <v>254.2</v>
      </c>
    </row>
    <row r="279" spans="2:4">
      <c r="B279" s="144">
        <v>42339</v>
      </c>
      <c r="C279" s="139">
        <v>0.45833333333333298</v>
      </c>
      <c r="D279">
        <v>255.9</v>
      </c>
    </row>
    <row r="280" spans="2:4">
      <c r="B280" s="144">
        <v>42339</v>
      </c>
      <c r="C280" s="139">
        <v>0.5</v>
      </c>
      <c r="D280">
        <v>251.3</v>
      </c>
    </row>
    <row r="281" spans="2:4">
      <c r="B281" s="144">
        <v>42339</v>
      </c>
      <c r="C281" s="139">
        <v>0.54166666666666696</v>
      </c>
      <c r="D281">
        <v>240</v>
      </c>
    </row>
    <row r="282" spans="2:4">
      <c r="B282" s="144">
        <v>42339</v>
      </c>
      <c r="C282" s="139">
        <v>0.58333333333333304</v>
      </c>
      <c r="D282">
        <v>228</v>
      </c>
    </row>
    <row r="283" spans="2:4">
      <c r="B283" s="144">
        <v>42339</v>
      </c>
      <c r="C283" s="139">
        <v>0.625</v>
      </c>
      <c r="D283">
        <v>201.6</v>
      </c>
    </row>
    <row r="284" spans="2:4">
      <c r="B284" s="144">
        <v>42339</v>
      </c>
      <c r="C284" s="139">
        <v>0.66666666666666696</v>
      </c>
      <c r="D284">
        <v>170.7</v>
      </c>
    </row>
    <row r="285" spans="2:4">
      <c r="B285" s="144">
        <v>42339</v>
      </c>
      <c r="C285" s="139">
        <v>0.70833333333333304</v>
      </c>
      <c r="D285">
        <v>93.6</v>
      </c>
    </row>
    <row r="286" spans="2:4">
      <c r="B286" s="144">
        <v>42339</v>
      </c>
      <c r="C286" s="139">
        <v>0.75</v>
      </c>
      <c r="D286">
        <v>0</v>
      </c>
    </row>
    <row r="287" spans="2:4">
      <c r="B287" s="144">
        <v>42339</v>
      </c>
      <c r="C287" s="139">
        <v>0.79166666666666696</v>
      </c>
      <c r="D287">
        <v>0</v>
      </c>
    </row>
    <row r="288" spans="2:4">
      <c r="B288" s="144">
        <v>42339</v>
      </c>
      <c r="C288" s="139">
        <v>0.83333333333333304</v>
      </c>
      <c r="D288">
        <v>0</v>
      </c>
    </row>
    <row r="289" spans="2:4">
      <c r="B289" s="144">
        <v>42339</v>
      </c>
      <c r="C289" s="139">
        <v>0.875</v>
      </c>
      <c r="D289">
        <v>0</v>
      </c>
    </row>
    <row r="290" spans="2:4">
      <c r="B290" s="144">
        <v>42339</v>
      </c>
      <c r="C290" s="139">
        <v>0.91666666666666696</v>
      </c>
      <c r="D290">
        <v>0</v>
      </c>
    </row>
    <row r="291" spans="2:4">
      <c r="B291" s="144">
        <v>42339</v>
      </c>
      <c r="C291" s="139">
        <v>0.95833333333333304</v>
      </c>
      <c r="D291">
        <v>0</v>
      </c>
    </row>
    <row r="292" spans="2:4">
      <c r="B292" s="144">
        <v>42370</v>
      </c>
      <c r="C292" s="139">
        <v>0</v>
      </c>
      <c r="D292" s="3">
        <v>0</v>
      </c>
    </row>
    <row r="293" spans="2:4">
      <c r="B293" s="144">
        <v>42370</v>
      </c>
      <c r="C293" s="139">
        <v>4.1666666666666664E-2</v>
      </c>
      <c r="D293" s="3">
        <v>0</v>
      </c>
    </row>
    <row r="294" spans="2:4">
      <c r="B294" s="144">
        <v>42370</v>
      </c>
      <c r="C294" s="139">
        <v>8.3333333333333301E-2</v>
      </c>
      <c r="D294" s="3">
        <v>0</v>
      </c>
    </row>
    <row r="295" spans="2:4">
      <c r="B295" s="144">
        <v>42370</v>
      </c>
      <c r="C295" s="139">
        <v>0.125</v>
      </c>
      <c r="D295" s="3">
        <v>0</v>
      </c>
    </row>
    <row r="296" spans="2:4">
      <c r="B296" s="144">
        <v>42370</v>
      </c>
      <c r="C296" s="139">
        <v>0.16666666666666699</v>
      </c>
      <c r="D296" s="3">
        <v>0</v>
      </c>
    </row>
    <row r="297" spans="2:4">
      <c r="B297" s="144">
        <v>42370</v>
      </c>
      <c r="C297" s="139">
        <v>0.20833333333333301</v>
      </c>
      <c r="D297" s="3">
        <v>0</v>
      </c>
    </row>
    <row r="298" spans="2:4">
      <c r="B298" s="144">
        <v>42370</v>
      </c>
      <c r="C298" s="139">
        <v>0.25</v>
      </c>
      <c r="D298" s="3">
        <v>21.4</v>
      </c>
    </row>
    <row r="299" spans="2:4">
      <c r="B299" s="144">
        <v>42370</v>
      </c>
      <c r="C299" s="139">
        <v>0.29166666666666702</v>
      </c>
      <c r="D299" s="3">
        <v>131.80000000000001</v>
      </c>
    </row>
    <row r="300" spans="2:4">
      <c r="B300" s="144">
        <v>42370</v>
      </c>
      <c r="C300" s="139">
        <v>0.33333333333333298</v>
      </c>
      <c r="D300" s="3">
        <v>190.4</v>
      </c>
    </row>
    <row r="301" spans="2:4">
      <c r="B301" s="144">
        <v>42370</v>
      </c>
      <c r="C301" s="139">
        <v>0.375</v>
      </c>
      <c r="D301" s="3">
        <v>229.3</v>
      </c>
    </row>
    <row r="302" spans="2:4">
      <c r="B302" s="144">
        <v>42370</v>
      </c>
      <c r="C302" s="139">
        <v>0.41666666666666702</v>
      </c>
      <c r="D302" s="3">
        <v>243.8</v>
      </c>
    </row>
    <row r="303" spans="2:4">
      <c r="B303" s="144">
        <v>42370</v>
      </c>
      <c r="C303" s="139">
        <v>0.45833333333333298</v>
      </c>
      <c r="D303" s="3">
        <v>236.3</v>
      </c>
    </row>
    <row r="304" spans="2:4">
      <c r="B304" s="144">
        <v>42370</v>
      </c>
      <c r="C304" s="139">
        <v>0.5</v>
      </c>
      <c r="D304" s="3">
        <v>246.9</v>
      </c>
    </row>
    <row r="305" spans="2:4">
      <c r="B305" s="144">
        <v>42370</v>
      </c>
      <c r="C305" s="139">
        <v>0.54166666666666696</v>
      </c>
      <c r="D305" s="3">
        <v>242</v>
      </c>
    </row>
    <row r="306" spans="2:4">
      <c r="B306" s="144">
        <v>42370</v>
      </c>
      <c r="C306" s="139">
        <v>0.58333333333333304</v>
      </c>
      <c r="D306" s="3">
        <v>240.5</v>
      </c>
    </row>
    <row r="307" spans="2:4">
      <c r="B307" s="144">
        <v>42370</v>
      </c>
      <c r="C307" s="139">
        <v>0.625</v>
      </c>
      <c r="D307" s="3">
        <v>210.9</v>
      </c>
    </row>
    <row r="308" spans="2:4">
      <c r="B308" s="144">
        <v>42370</v>
      </c>
      <c r="C308" s="139">
        <v>0.66666666666666696</v>
      </c>
      <c r="D308" s="3">
        <v>173.1</v>
      </c>
    </row>
    <row r="309" spans="2:4">
      <c r="B309" s="144">
        <v>42370</v>
      </c>
      <c r="C309" s="139">
        <v>0.70833333333333304</v>
      </c>
      <c r="D309" s="3">
        <v>119.2</v>
      </c>
    </row>
    <row r="310" spans="2:4">
      <c r="B310" s="144">
        <v>42370</v>
      </c>
      <c r="C310" s="139">
        <v>0.75</v>
      </c>
      <c r="D310" s="3">
        <v>0</v>
      </c>
    </row>
    <row r="311" spans="2:4">
      <c r="B311" s="144">
        <v>42370</v>
      </c>
      <c r="C311" s="139">
        <v>0.79166666666666696</v>
      </c>
      <c r="D311" s="3">
        <v>0</v>
      </c>
    </row>
    <row r="312" spans="2:4">
      <c r="B312" s="144">
        <v>42370</v>
      </c>
      <c r="C312" s="139">
        <v>0.83333333333333304</v>
      </c>
      <c r="D312" s="3">
        <v>0</v>
      </c>
    </row>
    <row r="313" spans="2:4">
      <c r="B313" s="144">
        <v>42370</v>
      </c>
      <c r="C313" s="139">
        <v>0.875</v>
      </c>
      <c r="D313" s="3">
        <v>0</v>
      </c>
    </row>
    <row r="314" spans="2:4">
      <c r="B314" s="144">
        <v>42370</v>
      </c>
      <c r="C314" s="139">
        <v>0.91666666666666696</v>
      </c>
      <c r="D314" s="3">
        <v>0</v>
      </c>
    </row>
    <row r="315" spans="2:4">
      <c r="B315" s="144">
        <v>42370</v>
      </c>
      <c r="C315" s="139">
        <v>0.95833333333333304</v>
      </c>
      <c r="D315" s="3">
        <v>0</v>
      </c>
    </row>
    <row r="316" spans="2:4">
      <c r="B316" s="144">
        <v>42401</v>
      </c>
      <c r="C316" s="139">
        <v>0</v>
      </c>
      <c r="D316" s="3">
        <v>0</v>
      </c>
    </row>
    <row r="317" spans="2:4">
      <c r="B317" s="144">
        <v>42401</v>
      </c>
      <c r="C317" s="139">
        <v>4.1666666666666664E-2</v>
      </c>
      <c r="D317" s="3">
        <v>0</v>
      </c>
    </row>
    <row r="318" spans="2:4">
      <c r="B318" s="144">
        <v>42401</v>
      </c>
      <c r="C318" s="139">
        <v>8.3333333333333301E-2</v>
      </c>
      <c r="D318" s="3">
        <v>0</v>
      </c>
    </row>
    <row r="319" spans="2:4">
      <c r="B319" s="144">
        <v>42401</v>
      </c>
      <c r="C319" s="139">
        <v>0.125</v>
      </c>
      <c r="D319" s="3">
        <v>0</v>
      </c>
    </row>
    <row r="320" spans="2:4">
      <c r="B320" s="144">
        <v>42401</v>
      </c>
      <c r="C320" s="139">
        <v>0.16666666666666699</v>
      </c>
      <c r="D320" s="3">
        <v>0</v>
      </c>
    </row>
    <row r="321" spans="2:4">
      <c r="B321" s="144">
        <v>42401</v>
      </c>
      <c r="C321" s="139">
        <v>0.20833333333333301</v>
      </c>
      <c r="D321" s="3">
        <v>0</v>
      </c>
    </row>
    <row r="322" spans="2:4">
      <c r="B322" s="144">
        <v>42401</v>
      </c>
      <c r="C322" s="139">
        <v>0.25</v>
      </c>
      <c r="D322" s="3">
        <v>23.1</v>
      </c>
    </row>
    <row r="323" spans="2:4">
      <c r="B323" s="144">
        <v>42401</v>
      </c>
      <c r="C323" s="139">
        <v>0.29166666666666702</v>
      </c>
      <c r="D323" s="3">
        <v>157.69999999999999</v>
      </c>
    </row>
    <row r="324" spans="2:4">
      <c r="B324" s="144">
        <v>42401</v>
      </c>
      <c r="C324" s="139">
        <v>0.33333333333333298</v>
      </c>
      <c r="D324" s="3">
        <v>227.1</v>
      </c>
    </row>
    <row r="325" spans="2:4">
      <c r="B325" s="144">
        <v>42401</v>
      </c>
      <c r="C325" s="139">
        <v>0.375</v>
      </c>
      <c r="D325" s="3">
        <v>270.5</v>
      </c>
    </row>
    <row r="326" spans="2:4">
      <c r="B326" s="144">
        <v>42401</v>
      </c>
      <c r="C326" s="139">
        <v>0.41666666666666702</v>
      </c>
      <c r="D326" s="3">
        <v>270.60000000000002</v>
      </c>
    </row>
    <row r="327" spans="2:4">
      <c r="B327" s="144">
        <v>42401</v>
      </c>
      <c r="C327" s="139">
        <v>0.45833333333333298</v>
      </c>
      <c r="D327" s="3">
        <v>271.3</v>
      </c>
    </row>
    <row r="328" spans="2:4">
      <c r="B328" s="144">
        <v>42401</v>
      </c>
      <c r="C328" s="139">
        <v>0.5</v>
      </c>
      <c r="D328" s="3">
        <v>252.6</v>
      </c>
    </row>
    <row r="329" spans="2:4">
      <c r="B329" s="144">
        <v>42401</v>
      </c>
      <c r="C329" s="139">
        <v>0.54166666666666696</v>
      </c>
      <c r="D329" s="3">
        <v>254.1</v>
      </c>
    </row>
    <row r="330" spans="2:4">
      <c r="B330" s="144">
        <v>42401</v>
      </c>
      <c r="C330" s="139">
        <v>0.58333333333333304</v>
      </c>
      <c r="D330" s="3">
        <v>283</v>
      </c>
    </row>
    <row r="331" spans="2:4">
      <c r="B331" s="144">
        <v>42401</v>
      </c>
      <c r="C331" s="139">
        <v>0.625</v>
      </c>
      <c r="D331" s="3">
        <v>269.8</v>
      </c>
    </row>
    <row r="332" spans="2:4">
      <c r="B332" s="144">
        <v>42401</v>
      </c>
      <c r="C332" s="139">
        <v>0.66666666666666696</v>
      </c>
      <c r="D332" s="3">
        <v>212.4</v>
      </c>
    </row>
    <row r="333" spans="2:4">
      <c r="B333" s="144">
        <v>42401</v>
      </c>
      <c r="C333" s="139">
        <v>0.70833333333333304</v>
      </c>
      <c r="D333" s="3">
        <v>148.5</v>
      </c>
    </row>
    <row r="334" spans="2:4">
      <c r="B334" s="144">
        <v>42401</v>
      </c>
      <c r="C334" s="139">
        <v>0.75</v>
      </c>
      <c r="D334" s="3">
        <v>0</v>
      </c>
    </row>
    <row r="335" spans="2:4">
      <c r="B335" s="144">
        <v>42401</v>
      </c>
      <c r="C335" s="139">
        <v>0.79166666666666696</v>
      </c>
      <c r="D335" s="3">
        <v>0</v>
      </c>
    </row>
    <row r="336" spans="2:4">
      <c r="B336" s="144">
        <v>42401</v>
      </c>
      <c r="C336" s="139">
        <v>0.83333333333333304</v>
      </c>
      <c r="D336" s="3">
        <v>0</v>
      </c>
    </row>
    <row r="337" spans="2:4">
      <c r="B337" s="144">
        <v>42401</v>
      </c>
      <c r="C337" s="139">
        <v>0.875</v>
      </c>
      <c r="D337" s="3">
        <v>0</v>
      </c>
    </row>
    <row r="338" spans="2:4">
      <c r="B338" s="144">
        <v>42401</v>
      </c>
      <c r="C338" s="139">
        <v>0.91666666666666696</v>
      </c>
      <c r="D338" s="3">
        <v>0</v>
      </c>
    </row>
    <row r="339" spans="2:4">
      <c r="B339" s="144">
        <v>42401</v>
      </c>
      <c r="C339" s="139">
        <v>0.95833333333333304</v>
      </c>
      <c r="D339" s="3">
        <v>0</v>
      </c>
    </row>
    <row r="340" spans="2:4">
      <c r="B340" s="144">
        <v>42430</v>
      </c>
      <c r="C340" s="139">
        <v>0</v>
      </c>
      <c r="D340" s="3">
        <v>0</v>
      </c>
    </row>
    <row r="341" spans="2:4">
      <c r="B341" s="144">
        <v>42430</v>
      </c>
      <c r="C341" s="139">
        <v>4.1666666666666664E-2</v>
      </c>
      <c r="D341" s="3">
        <v>0</v>
      </c>
    </row>
    <row r="342" spans="2:4">
      <c r="B342" s="144">
        <v>42430</v>
      </c>
      <c r="C342" s="139">
        <v>8.3333333333333301E-2</v>
      </c>
      <c r="D342" s="3">
        <v>0</v>
      </c>
    </row>
    <row r="343" spans="2:4">
      <c r="B343" s="144">
        <v>42430</v>
      </c>
      <c r="C343" s="139">
        <v>0.125</v>
      </c>
      <c r="D343" s="3">
        <v>0</v>
      </c>
    </row>
    <row r="344" spans="2:4">
      <c r="B344" s="144">
        <v>42430</v>
      </c>
      <c r="C344" s="139">
        <v>0.16666666666666699</v>
      </c>
      <c r="D344" s="3">
        <v>0</v>
      </c>
    </row>
    <row r="345" spans="2:4">
      <c r="B345" s="144">
        <v>42430</v>
      </c>
      <c r="C345" s="139">
        <v>0.20833333333333301</v>
      </c>
      <c r="D345" s="3">
        <v>0</v>
      </c>
    </row>
    <row r="346" spans="2:4">
      <c r="B346" s="144">
        <v>42430</v>
      </c>
      <c r="C346" s="139">
        <v>0.25</v>
      </c>
      <c r="D346" s="3">
        <v>29</v>
      </c>
    </row>
    <row r="347" spans="2:4">
      <c r="B347" s="144">
        <v>42430</v>
      </c>
      <c r="C347" s="139">
        <v>0.29166666666666702</v>
      </c>
      <c r="D347" s="3">
        <v>175.7</v>
      </c>
    </row>
    <row r="348" spans="2:4">
      <c r="B348" s="144">
        <v>42430</v>
      </c>
      <c r="C348" s="139">
        <v>0.33333333333333298</v>
      </c>
      <c r="D348" s="3">
        <v>249.4</v>
      </c>
    </row>
    <row r="349" spans="2:4">
      <c r="B349" s="144">
        <v>42430</v>
      </c>
      <c r="C349" s="139">
        <v>0.375</v>
      </c>
      <c r="D349" s="3">
        <v>273.89999999999998</v>
      </c>
    </row>
    <row r="350" spans="2:4">
      <c r="B350" s="144">
        <v>42430</v>
      </c>
      <c r="C350" s="139">
        <v>0.41666666666666702</v>
      </c>
      <c r="D350" s="3">
        <v>260.8</v>
      </c>
    </row>
    <row r="351" spans="2:4">
      <c r="B351" s="144">
        <v>42430</v>
      </c>
      <c r="C351" s="139">
        <v>0.45833333333333298</v>
      </c>
      <c r="D351" s="3">
        <v>266.10000000000002</v>
      </c>
    </row>
    <row r="352" spans="2:4">
      <c r="B352" s="144">
        <v>42430</v>
      </c>
      <c r="C352" s="139">
        <v>0.5</v>
      </c>
      <c r="D352" s="3">
        <v>250</v>
      </c>
    </row>
    <row r="353" spans="2:4">
      <c r="B353" s="144">
        <v>42430</v>
      </c>
      <c r="C353" s="139">
        <v>0.54166666666666696</v>
      </c>
      <c r="D353" s="3">
        <v>288.8</v>
      </c>
    </row>
    <row r="354" spans="2:4">
      <c r="B354" s="144">
        <v>42430</v>
      </c>
      <c r="C354" s="139">
        <v>0.58333333333333304</v>
      </c>
      <c r="D354" s="3">
        <v>285</v>
      </c>
    </row>
    <row r="355" spans="2:4">
      <c r="B355" s="144">
        <v>42430</v>
      </c>
      <c r="C355" s="139">
        <v>0.625</v>
      </c>
      <c r="D355" s="3">
        <v>274.8</v>
      </c>
    </row>
    <row r="356" spans="2:4">
      <c r="B356" s="144">
        <v>42430</v>
      </c>
      <c r="C356" s="139">
        <v>0.66666666666666696</v>
      </c>
      <c r="D356" s="3">
        <v>227.2</v>
      </c>
    </row>
    <row r="357" spans="2:4">
      <c r="B357" s="144">
        <v>42430</v>
      </c>
      <c r="C357" s="139">
        <v>0.70833333333333304</v>
      </c>
      <c r="D357" s="3">
        <v>130.19999999999999</v>
      </c>
    </row>
    <row r="358" spans="2:4">
      <c r="B358" s="144">
        <v>42430</v>
      </c>
      <c r="C358" s="139">
        <v>0.75</v>
      </c>
      <c r="D358" s="3">
        <v>0</v>
      </c>
    </row>
    <row r="359" spans="2:4">
      <c r="B359" s="144">
        <v>42430</v>
      </c>
      <c r="C359" s="139">
        <v>0.79166666666666696</v>
      </c>
      <c r="D359" s="3">
        <v>0</v>
      </c>
    </row>
    <row r="360" spans="2:4">
      <c r="B360" s="144">
        <v>42430</v>
      </c>
      <c r="C360" s="139">
        <v>0.83333333333333304</v>
      </c>
      <c r="D360" s="3">
        <v>0</v>
      </c>
    </row>
    <row r="361" spans="2:4">
      <c r="B361" s="144">
        <v>42430</v>
      </c>
      <c r="C361" s="139">
        <v>0.875</v>
      </c>
      <c r="D361" s="3">
        <v>0</v>
      </c>
    </row>
    <row r="362" spans="2:4">
      <c r="B362" s="144">
        <v>42430</v>
      </c>
      <c r="C362" s="139">
        <v>0.91666666666666696</v>
      </c>
      <c r="D362" s="3">
        <v>0</v>
      </c>
    </row>
    <row r="363" spans="2:4">
      <c r="B363" s="144">
        <v>42430</v>
      </c>
      <c r="C363" s="139">
        <v>0.95833333333333304</v>
      </c>
      <c r="D363" s="3">
        <v>0</v>
      </c>
    </row>
    <row r="364" spans="2:4">
      <c r="B364" s="144">
        <v>42461</v>
      </c>
      <c r="C364" s="139">
        <v>0</v>
      </c>
      <c r="D364" s="3">
        <v>0</v>
      </c>
    </row>
    <row r="365" spans="2:4">
      <c r="B365" s="144">
        <v>42461</v>
      </c>
      <c r="C365" s="139">
        <v>4.1666666666666664E-2</v>
      </c>
      <c r="D365" s="3">
        <v>0</v>
      </c>
    </row>
    <row r="366" spans="2:4">
      <c r="B366" s="144">
        <v>42461</v>
      </c>
      <c r="C366" s="139">
        <v>8.3333333333333301E-2</v>
      </c>
      <c r="D366" s="3">
        <v>0</v>
      </c>
    </row>
    <row r="367" spans="2:4">
      <c r="B367" s="144">
        <v>42461</v>
      </c>
      <c r="C367" s="139">
        <v>0.125</v>
      </c>
      <c r="D367" s="3">
        <v>0</v>
      </c>
    </row>
    <row r="368" spans="2:4">
      <c r="B368" s="144">
        <v>42461</v>
      </c>
      <c r="C368" s="139">
        <v>0.16666666666666699</v>
      </c>
      <c r="D368" s="3">
        <v>0</v>
      </c>
    </row>
    <row r="369" spans="2:4">
      <c r="B369" s="144">
        <v>42461</v>
      </c>
      <c r="C369" s="139">
        <v>0.20833333333333301</v>
      </c>
      <c r="D369" s="3">
        <v>0</v>
      </c>
    </row>
    <row r="370" spans="2:4">
      <c r="B370" s="144">
        <v>42461</v>
      </c>
      <c r="C370" s="139">
        <v>0.25</v>
      </c>
      <c r="D370" s="3">
        <v>55.5</v>
      </c>
    </row>
    <row r="371" spans="2:4">
      <c r="B371" s="144">
        <v>42461</v>
      </c>
      <c r="C371" s="139">
        <v>0.29166666666666702</v>
      </c>
      <c r="D371" s="3">
        <v>209.1</v>
      </c>
    </row>
    <row r="372" spans="2:4">
      <c r="B372" s="144">
        <v>42461</v>
      </c>
      <c r="C372" s="139">
        <v>0.33333333333333298</v>
      </c>
      <c r="D372" s="3">
        <v>278.60000000000002</v>
      </c>
    </row>
    <row r="373" spans="2:4">
      <c r="B373" s="144">
        <v>42461</v>
      </c>
      <c r="C373" s="139">
        <v>0.375</v>
      </c>
      <c r="D373" s="3">
        <v>296.10000000000002</v>
      </c>
    </row>
    <row r="374" spans="2:4">
      <c r="B374" s="144">
        <v>42461</v>
      </c>
      <c r="C374" s="139">
        <v>0.41666666666666702</v>
      </c>
      <c r="D374" s="3">
        <v>296.8</v>
      </c>
    </row>
    <row r="375" spans="2:4">
      <c r="B375" s="144">
        <v>42461</v>
      </c>
      <c r="C375" s="139">
        <v>0.45833333333333298</v>
      </c>
      <c r="D375" s="3">
        <v>313</v>
      </c>
    </row>
    <row r="376" spans="2:4">
      <c r="B376" s="144">
        <v>42461</v>
      </c>
      <c r="C376" s="139">
        <v>0.5</v>
      </c>
      <c r="D376" s="3">
        <v>275.5</v>
      </c>
    </row>
    <row r="377" spans="2:4">
      <c r="B377" s="144">
        <v>42461</v>
      </c>
      <c r="C377" s="139">
        <v>0.54166666666666696</v>
      </c>
      <c r="D377" s="3">
        <v>259.10000000000002</v>
      </c>
    </row>
    <row r="378" spans="2:4">
      <c r="B378" s="144">
        <v>42461</v>
      </c>
      <c r="C378" s="139">
        <v>0.58333333333333304</v>
      </c>
      <c r="D378" s="3">
        <v>266.7</v>
      </c>
    </row>
    <row r="379" spans="2:4">
      <c r="B379" s="144">
        <v>42461</v>
      </c>
      <c r="C379" s="139">
        <v>0.625</v>
      </c>
      <c r="D379" s="3">
        <v>250</v>
      </c>
    </row>
    <row r="380" spans="2:4">
      <c r="B380" s="144">
        <v>42461</v>
      </c>
      <c r="C380" s="139">
        <v>0.66666666666666696</v>
      </c>
      <c r="D380" s="3">
        <v>218.5</v>
      </c>
    </row>
    <row r="381" spans="2:4">
      <c r="B381" s="144">
        <v>42461</v>
      </c>
      <c r="C381" s="139">
        <v>0.70833333333333304</v>
      </c>
      <c r="D381" s="3">
        <v>88.1</v>
      </c>
    </row>
    <row r="382" spans="2:4">
      <c r="B382" s="144">
        <v>42461</v>
      </c>
      <c r="C382" s="139">
        <v>0.75</v>
      </c>
      <c r="D382" s="3">
        <v>0</v>
      </c>
    </row>
    <row r="383" spans="2:4">
      <c r="B383" s="144">
        <v>42461</v>
      </c>
      <c r="C383" s="139">
        <v>0.79166666666666696</v>
      </c>
      <c r="D383" s="3">
        <v>0</v>
      </c>
    </row>
    <row r="384" spans="2:4">
      <c r="B384" s="144">
        <v>42461</v>
      </c>
      <c r="C384" s="139">
        <v>0.83333333333333304</v>
      </c>
      <c r="D384" s="3">
        <v>0</v>
      </c>
    </row>
    <row r="385" spans="2:4">
      <c r="B385" s="144">
        <v>42461</v>
      </c>
      <c r="C385" s="139">
        <v>0.875</v>
      </c>
      <c r="D385" s="3">
        <v>0</v>
      </c>
    </row>
    <row r="386" spans="2:4">
      <c r="B386" s="144">
        <v>42461</v>
      </c>
      <c r="C386" s="139">
        <v>0.91666666666666696</v>
      </c>
      <c r="D386" s="3">
        <v>0</v>
      </c>
    </row>
    <row r="387" spans="2:4">
      <c r="B387" s="144">
        <v>42461</v>
      </c>
      <c r="C387" s="139">
        <v>0.95833333333333304</v>
      </c>
      <c r="D387" s="3">
        <v>0</v>
      </c>
    </row>
    <row r="388" spans="2:4">
      <c r="B388" s="144">
        <v>42491</v>
      </c>
      <c r="C388" s="139">
        <v>0</v>
      </c>
      <c r="D388" s="3">
        <v>0</v>
      </c>
    </row>
    <row r="389" spans="2:4">
      <c r="B389" s="144">
        <v>42491</v>
      </c>
      <c r="C389" s="139">
        <v>4.1666666666666664E-2</v>
      </c>
      <c r="D389" s="3">
        <v>0</v>
      </c>
    </row>
    <row r="390" spans="2:4">
      <c r="B390" s="144">
        <v>42491</v>
      </c>
      <c r="C390" s="139">
        <v>8.3333333333333301E-2</v>
      </c>
      <c r="D390" s="3">
        <v>0</v>
      </c>
    </row>
    <row r="391" spans="2:4">
      <c r="B391" s="144">
        <v>42491</v>
      </c>
      <c r="C391" s="139">
        <v>0.125</v>
      </c>
      <c r="D391" s="3">
        <v>0</v>
      </c>
    </row>
    <row r="392" spans="2:4">
      <c r="B392" s="144">
        <v>42491</v>
      </c>
      <c r="C392" s="139">
        <v>0.16666666666666699</v>
      </c>
      <c r="D392" s="3">
        <v>0</v>
      </c>
    </row>
    <row r="393" spans="2:4">
      <c r="B393" s="144">
        <v>42491</v>
      </c>
      <c r="C393" s="139">
        <v>0.20833333333333301</v>
      </c>
      <c r="D393" s="3">
        <v>0</v>
      </c>
    </row>
    <row r="394" spans="2:4">
      <c r="B394" s="144">
        <v>42491</v>
      </c>
      <c r="C394" s="139">
        <v>0.25</v>
      </c>
      <c r="D394" s="3">
        <v>83.6</v>
      </c>
    </row>
    <row r="395" spans="2:4">
      <c r="B395" s="144">
        <v>42491</v>
      </c>
      <c r="C395" s="139">
        <v>0.29166666666666702</v>
      </c>
      <c r="D395" s="3">
        <v>224.3</v>
      </c>
    </row>
    <row r="396" spans="2:4">
      <c r="B396" s="144">
        <v>42491</v>
      </c>
      <c r="C396" s="139">
        <v>0.33333333333333298</v>
      </c>
      <c r="D396" s="3">
        <v>283.3</v>
      </c>
    </row>
    <row r="397" spans="2:4">
      <c r="B397" s="144">
        <v>42491</v>
      </c>
      <c r="C397" s="139">
        <v>0.375</v>
      </c>
      <c r="D397" s="3">
        <v>289.39999999999998</v>
      </c>
    </row>
    <row r="398" spans="2:4">
      <c r="B398" s="144">
        <v>42491</v>
      </c>
      <c r="C398" s="139">
        <v>0.41666666666666702</v>
      </c>
      <c r="D398" s="3">
        <v>282.8</v>
      </c>
    </row>
    <row r="399" spans="2:4">
      <c r="B399" s="144">
        <v>42491</v>
      </c>
      <c r="C399" s="139">
        <v>0.45833333333333298</v>
      </c>
      <c r="D399" s="3">
        <v>286.60000000000002</v>
      </c>
    </row>
    <row r="400" spans="2:4">
      <c r="B400" s="144">
        <v>42491</v>
      </c>
      <c r="C400" s="139">
        <v>0.5</v>
      </c>
      <c r="D400" s="3">
        <v>270.5</v>
      </c>
    </row>
    <row r="401" spans="2:4">
      <c r="B401" s="144">
        <v>42491</v>
      </c>
      <c r="C401" s="139">
        <v>0.54166666666666696</v>
      </c>
      <c r="D401" s="3">
        <v>266.10000000000002</v>
      </c>
    </row>
    <row r="402" spans="2:4">
      <c r="B402" s="144">
        <v>42491</v>
      </c>
      <c r="C402" s="139">
        <v>0.58333333333333304</v>
      </c>
      <c r="D402" s="3">
        <v>246</v>
      </c>
    </row>
    <row r="403" spans="2:4">
      <c r="B403" s="144">
        <v>42491</v>
      </c>
      <c r="C403" s="139">
        <v>0.625</v>
      </c>
      <c r="D403" s="3">
        <v>224</v>
      </c>
    </row>
    <row r="404" spans="2:4">
      <c r="B404" s="144">
        <v>42491</v>
      </c>
      <c r="C404" s="139">
        <v>0.66666666666666696</v>
      </c>
      <c r="D404" s="3">
        <v>205.8</v>
      </c>
    </row>
    <row r="405" spans="2:4">
      <c r="B405" s="144">
        <v>42491</v>
      </c>
      <c r="C405" s="139">
        <v>0.70833333333333304</v>
      </c>
      <c r="D405" s="3">
        <v>89.4</v>
      </c>
    </row>
    <row r="406" spans="2:4">
      <c r="B406" s="144">
        <v>42491</v>
      </c>
      <c r="C406" s="139">
        <v>0.75</v>
      </c>
      <c r="D406" s="3">
        <v>0</v>
      </c>
    </row>
    <row r="407" spans="2:4">
      <c r="B407" s="144">
        <v>42491</v>
      </c>
      <c r="C407" s="139">
        <v>0.79166666666666696</v>
      </c>
      <c r="D407" s="3">
        <v>0</v>
      </c>
    </row>
    <row r="408" spans="2:4">
      <c r="B408" s="144">
        <v>42491</v>
      </c>
      <c r="C408" s="139">
        <v>0.83333333333333304</v>
      </c>
      <c r="D408" s="3">
        <v>0</v>
      </c>
    </row>
    <row r="409" spans="2:4">
      <c r="B409" s="144">
        <v>42491</v>
      </c>
      <c r="C409" s="139">
        <v>0.875</v>
      </c>
      <c r="D409" s="3">
        <v>0</v>
      </c>
    </row>
    <row r="410" spans="2:4">
      <c r="B410" s="144">
        <v>42491</v>
      </c>
      <c r="C410" s="139">
        <v>0.91666666666666696</v>
      </c>
      <c r="D410" s="3">
        <v>0</v>
      </c>
    </row>
    <row r="411" spans="2:4">
      <c r="B411" s="144">
        <v>42491</v>
      </c>
      <c r="C411" s="139">
        <v>0.95833333333333304</v>
      </c>
      <c r="D411" s="3">
        <v>0</v>
      </c>
    </row>
    <row r="412" spans="2:4">
      <c r="B412" s="144">
        <v>42522</v>
      </c>
      <c r="C412" s="139">
        <v>0</v>
      </c>
      <c r="D412" s="3">
        <v>0</v>
      </c>
    </row>
    <row r="413" spans="2:4">
      <c r="B413" s="144">
        <v>42522</v>
      </c>
      <c r="C413" s="139">
        <v>4.1666666666666664E-2</v>
      </c>
      <c r="D413" s="3">
        <v>0</v>
      </c>
    </row>
    <row r="414" spans="2:4">
      <c r="B414" s="144">
        <v>42522</v>
      </c>
      <c r="C414" s="139">
        <v>8.3333333333333301E-2</v>
      </c>
      <c r="D414" s="3">
        <v>0</v>
      </c>
    </row>
    <row r="415" spans="2:4">
      <c r="B415" s="144">
        <v>42522</v>
      </c>
      <c r="C415" s="139">
        <v>0.125</v>
      </c>
      <c r="D415" s="3">
        <v>0</v>
      </c>
    </row>
    <row r="416" spans="2:4">
      <c r="B416" s="144">
        <v>42522</v>
      </c>
      <c r="C416" s="139">
        <v>0.16666666666666699</v>
      </c>
      <c r="D416" s="3">
        <v>0</v>
      </c>
    </row>
    <row r="417" spans="2:4">
      <c r="B417" s="144">
        <v>42522</v>
      </c>
      <c r="C417" s="139">
        <v>0.20833333333333301</v>
      </c>
      <c r="D417" s="3">
        <v>0</v>
      </c>
    </row>
    <row r="418" spans="2:4">
      <c r="B418" s="144">
        <v>42522</v>
      </c>
      <c r="C418" s="139">
        <v>0.25</v>
      </c>
      <c r="D418" s="3">
        <v>58.4</v>
      </c>
    </row>
    <row r="419" spans="2:4">
      <c r="B419" s="144">
        <v>42522</v>
      </c>
      <c r="C419" s="139">
        <v>0.29166666666666702</v>
      </c>
      <c r="D419" s="3">
        <v>211.4</v>
      </c>
    </row>
    <row r="420" spans="2:4">
      <c r="B420" s="144">
        <v>42522</v>
      </c>
      <c r="C420" s="139">
        <v>0.33333333333333298</v>
      </c>
      <c r="D420" s="3">
        <v>253.1</v>
      </c>
    </row>
    <row r="421" spans="2:4">
      <c r="B421" s="144">
        <v>42522</v>
      </c>
      <c r="C421" s="139">
        <v>0.375</v>
      </c>
      <c r="D421" s="3">
        <v>262.2</v>
      </c>
    </row>
    <row r="422" spans="2:4">
      <c r="B422" s="144">
        <v>42522</v>
      </c>
      <c r="C422" s="139">
        <v>0.41666666666666702</v>
      </c>
      <c r="D422" s="3">
        <v>260.2</v>
      </c>
    </row>
    <row r="423" spans="2:4">
      <c r="B423" s="144">
        <v>42522</v>
      </c>
      <c r="C423" s="139">
        <v>0.45833333333333298</v>
      </c>
      <c r="D423" s="3">
        <v>259.7</v>
      </c>
    </row>
    <row r="424" spans="2:4">
      <c r="B424" s="144">
        <v>42522</v>
      </c>
      <c r="C424" s="139">
        <v>0.5</v>
      </c>
      <c r="D424" s="3">
        <v>269.10000000000002</v>
      </c>
    </row>
    <row r="425" spans="2:4">
      <c r="B425" s="144">
        <v>42522</v>
      </c>
      <c r="C425" s="139">
        <v>0.54166666666666696</v>
      </c>
      <c r="D425" s="3">
        <v>243.3</v>
      </c>
    </row>
    <row r="426" spans="2:4">
      <c r="B426" s="144">
        <v>42522</v>
      </c>
      <c r="C426" s="139">
        <v>0.58333333333333304</v>
      </c>
      <c r="D426" s="3">
        <v>220.1</v>
      </c>
    </row>
    <row r="427" spans="2:4">
      <c r="B427" s="144">
        <v>42522</v>
      </c>
      <c r="C427" s="139">
        <v>0.625</v>
      </c>
      <c r="D427" s="3">
        <v>204.8</v>
      </c>
    </row>
    <row r="428" spans="2:4">
      <c r="B428" s="144">
        <v>42522</v>
      </c>
      <c r="C428" s="139">
        <v>0.66666666666666696</v>
      </c>
      <c r="D428" s="3">
        <v>192.5</v>
      </c>
    </row>
    <row r="429" spans="2:4">
      <c r="B429" s="144">
        <v>42522</v>
      </c>
      <c r="C429" s="139">
        <v>0.70833333333333304</v>
      </c>
      <c r="D429" s="3">
        <v>80.8</v>
      </c>
    </row>
    <row r="430" spans="2:4">
      <c r="B430" s="144">
        <v>42522</v>
      </c>
      <c r="C430" s="139">
        <v>0.75</v>
      </c>
      <c r="D430" s="3">
        <v>0</v>
      </c>
    </row>
    <row r="431" spans="2:4">
      <c r="B431" s="144">
        <v>42522</v>
      </c>
      <c r="C431" s="139">
        <v>0.79166666666666696</v>
      </c>
      <c r="D431" s="3">
        <v>0</v>
      </c>
    </row>
    <row r="432" spans="2:4">
      <c r="B432" s="144">
        <v>42522</v>
      </c>
      <c r="C432" s="139">
        <v>0.83333333333333304</v>
      </c>
      <c r="D432" s="3">
        <v>0</v>
      </c>
    </row>
    <row r="433" spans="2:4">
      <c r="B433" s="144">
        <v>42522</v>
      </c>
      <c r="C433" s="139">
        <v>0.875</v>
      </c>
      <c r="D433" s="3">
        <v>0</v>
      </c>
    </row>
    <row r="434" spans="2:4">
      <c r="B434" s="144">
        <v>42522</v>
      </c>
      <c r="C434" s="139">
        <v>0.91666666666666696</v>
      </c>
      <c r="D434" s="3">
        <v>0</v>
      </c>
    </row>
    <row r="435" spans="2:4">
      <c r="B435" s="144">
        <v>42522</v>
      </c>
      <c r="C435" s="139">
        <v>0.95833333333333304</v>
      </c>
      <c r="D435" s="3">
        <v>0</v>
      </c>
    </row>
    <row r="436" spans="2:4">
      <c r="B436" s="144">
        <v>42552</v>
      </c>
      <c r="C436" s="139">
        <v>0</v>
      </c>
      <c r="D436" s="3">
        <v>0</v>
      </c>
    </row>
    <row r="437" spans="2:4">
      <c r="B437" s="144">
        <v>42552</v>
      </c>
      <c r="C437" s="139">
        <v>4.1666666666666664E-2</v>
      </c>
      <c r="D437" s="3">
        <v>0</v>
      </c>
    </row>
    <row r="438" spans="2:4">
      <c r="B438" s="144">
        <v>42552</v>
      </c>
      <c r="C438" s="139">
        <v>8.3333333333333301E-2</v>
      </c>
      <c r="D438" s="3">
        <v>0</v>
      </c>
    </row>
    <row r="439" spans="2:4">
      <c r="B439" s="144">
        <v>42552</v>
      </c>
      <c r="C439" s="139">
        <v>0.125</v>
      </c>
      <c r="D439" s="3">
        <v>0</v>
      </c>
    </row>
    <row r="440" spans="2:4">
      <c r="B440" s="144">
        <v>42552</v>
      </c>
      <c r="C440" s="139">
        <v>0.16666666666666699</v>
      </c>
      <c r="D440" s="3">
        <v>0</v>
      </c>
    </row>
    <row r="441" spans="2:4">
      <c r="B441" s="144">
        <v>42552</v>
      </c>
      <c r="C441" s="139">
        <v>0.20833333333333301</v>
      </c>
      <c r="D441" s="3">
        <v>0</v>
      </c>
    </row>
    <row r="442" spans="2:4">
      <c r="B442" s="144">
        <v>42552</v>
      </c>
      <c r="C442" s="139">
        <v>0.25</v>
      </c>
      <c r="D442" s="3">
        <v>34.200000000000003</v>
      </c>
    </row>
    <row r="443" spans="2:4">
      <c r="B443" s="144">
        <v>42552</v>
      </c>
      <c r="C443" s="139">
        <v>0.29166666666666702</v>
      </c>
      <c r="D443" s="3">
        <v>202.1</v>
      </c>
    </row>
    <row r="444" spans="2:4">
      <c r="B444" s="144">
        <v>42552</v>
      </c>
      <c r="C444" s="139">
        <v>0.33333333333333298</v>
      </c>
      <c r="D444" s="3">
        <v>258.89999999999998</v>
      </c>
    </row>
    <row r="445" spans="2:4">
      <c r="B445" s="144">
        <v>42552</v>
      </c>
      <c r="C445" s="139">
        <v>0.375</v>
      </c>
      <c r="D445" s="3">
        <v>252.9</v>
      </c>
    </row>
    <row r="446" spans="2:4">
      <c r="B446" s="144">
        <v>42552</v>
      </c>
      <c r="C446" s="139">
        <v>0.41666666666666702</v>
      </c>
      <c r="D446" s="3">
        <v>241.5</v>
      </c>
    </row>
    <row r="447" spans="2:4">
      <c r="B447" s="144">
        <v>42552</v>
      </c>
      <c r="C447" s="139">
        <v>0.45833333333333298</v>
      </c>
      <c r="D447" s="3">
        <v>261.7</v>
      </c>
    </row>
    <row r="448" spans="2:4">
      <c r="B448" s="144">
        <v>42552</v>
      </c>
      <c r="C448" s="139">
        <v>0.5</v>
      </c>
      <c r="D448" s="3">
        <v>267</v>
      </c>
    </row>
    <row r="449" spans="2:4">
      <c r="B449" s="144">
        <v>42552</v>
      </c>
      <c r="C449" s="139">
        <v>0.54166666666666696</v>
      </c>
      <c r="D449" s="3">
        <v>258.5</v>
      </c>
    </row>
    <row r="450" spans="2:4">
      <c r="B450" s="144">
        <v>42552</v>
      </c>
      <c r="C450" s="139">
        <v>0.58333333333333304</v>
      </c>
      <c r="D450" s="3">
        <v>248.8</v>
      </c>
    </row>
    <row r="451" spans="2:4">
      <c r="B451" s="144">
        <v>42552</v>
      </c>
      <c r="C451" s="139">
        <v>0.625</v>
      </c>
      <c r="D451" s="3">
        <v>231.9</v>
      </c>
    </row>
    <row r="452" spans="2:4">
      <c r="B452" s="144">
        <v>42552</v>
      </c>
      <c r="C452" s="139">
        <v>0.66666666666666696</v>
      </c>
      <c r="D452" s="3">
        <v>213.9</v>
      </c>
    </row>
    <row r="453" spans="2:4">
      <c r="B453" s="144">
        <v>42552</v>
      </c>
      <c r="C453" s="139">
        <v>0.70833333333333304</v>
      </c>
      <c r="D453" s="3">
        <v>128.5</v>
      </c>
    </row>
    <row r="454" spans="2:4">
      <c r="B454" s="144">
        <v>42552</v>
      </c>
      <c r="C454" s="139">
        <v>0.75</v>
      </c>
      <c r="D454" s="3">
        <v>0</v>
      </c>
    </row>
    <row r="455" spans="2:4">
      <c r="B455" s="144">
        <v>42552</v>
      </c>
      <c r="C455" s="139">
        <v>0.79166666666666696</v>
      </c>
      <c r="D455" s="3">
        <v>0</v>
      </c>
    </row>
    <row r="456" spans="2:4">
      <c r="B456" s="144">
        <v>42552</v>
      </c>
      <c r="C456" s="139">
        <v>0.83333333333333304</v>
      </c>
      <c r="D456" s="3">
        <v>0</v>
      </c>
    </row>
    <row r="457" spans="2:4">
      <c r="B457" s="144">
        <v>42552</v>
      </c>
      <c r="C457" s="139">
        <v>0.875</v>
      </c>
      <c r="D457" s="3">
        <v>0</v>
      </c>
    </row>
    <row r="458" spans="2:4">
      <c r="B458" s="144">
        <v>42552</v>
      </c>
      <c r="C458" s="139">
        <v>0.91666666666666696</v>
      </c>
      <c r="D458" s="3">
        <v>0</v>
      </c>
    </row>
    <row r="459" spans="2:4">
      <c r="B459" s="144">
        <v>42552</v>
      </c>
      <c r="C459" s="139">
        <v>0.95833333333333304</v>
      </c>
      <c r="D459" s="3">
        <v>0</v>
      </c>
    </row>
    <row r="460" spans="2:4">
      <c r="B460" s="144">
        <v>42583</v>
      </c>
      <c r="C460" s="139">
        <v>0</v>
      </c>
      <c r="D460" s="3">
        <v>0</v>
      </c>
    </row>
    <row r="461" spans="2:4">
      <c r="B461" s="144">
        <v>42583</v>
      </c>
      <c r="C461" s="139">
        <v>4.1666666666666664E-2</v>
      </c>
      <c r="D461" s="3">
        <v>0</v>
      </c>
    </row>
    <row r="462" spans="2:4">
      <c r="B462" s="144">
        <v>42583</v>
      </c>
      <c r="C462" s="139">
        <v>8.3333333333333301E-2</v>
      </c>
      <c r="D462" s="3">
        <v>0</v>
      </c>
    </row>
    <row r="463" spans="2:4">
      <c r="B463" s="144">
        <v>42583</v>
      </c>
      <c r="C463" s="139">
        <v>0.125</v>
      </c>
      <c r="D463" s="3">
        <v>0</v>
      </c>
    </row>
    <row r="464" spans="2:4">
      <c r="B464" s="144">
        <v>42583</v>
      </c>
      <c r="C464" s="139">
        <v>0.16666666666666699</v>
      </c>
      <c r="D464" s="3">
        <v>0</v>
      </c>
    </row>
    <row r="465" spans="2:4">
      <c r="B465" s="144">
        <v>42583</v>
      </c>
      <c r="C465" s="139">
        <v>0.20833333333333301</v>
      </c>
      <c r="D465" s="3">
        <v>0</v>
      </c>
    </row>
    <row r="466" spans="2:4">
      <c r="B466" s="144">
        <v>42583</v>
      </c>
      <c r="C466" s="139">
        <v>0.25</v>
      </c>
      <c r="D466" s="3">
        <v>33.1</v>
      </c>
    </row>
    <row r="467" spans="2:4">
      <c r="B467" s="144">
        <v>42583</v>
      </c>
      <c r="C467" s="139">
        <v>0.29166666666666702</v>
      </c>
      <c r="D467" s="3">
        <v>198.4</v>
      </c>
    </row>
    <row r="468" spans="2:4">
      <c r="B468" s="144">
        <v>42583</v>
      </c>
      <c r="C468" s="139">
        <v>0.33333333333333298</v>
      </c>
      <c r="D468" s="3">
        <v>260.5</v>
      </c>
    </row>
    <row r="469" spans="2:4">
      <c r="B469" s="144">
        <v>42583</v>
      </c>
      <c r="C469" s="139">
        <v>0.375</v>
      </c>
      <c r="D469" s="3">
        <v>242.9</v>
      </c>
    </row>
    <row r="470" spans="2:4">
      <c r="B470" s="144">
        <v>42583</v>
      </c>
      <c r="C470" s="139">
        <v>0.41666666666666702</v>
      </c>
      <c r="D470" s="3">
        <v>228.4</v>
      </c>
    </row>
    <row r="471" spans="2:4">
      <c r="B471" s="144">
        <v>42583</v>
      </c>
      <c r="C471" s="139">
        <v>0.45833333333333298</v>
      </c>
      <c r="D471" s="3">
        <v>234.3</v>
      </c>
    </row>
    <row r="472" spans="2:4">
      <c r="B472" s="144">
        <v>42583</v>
      </c>
      <c r="C472" s="139">
        <v>0.5</v>
      </c>
      <c r="D472" s="3">
        <v>228</v>
      </c>
    </row>
    <row r="473" spans="2:4">
      <c r="B473" s="144">
        <v>42583</v>
      </c>
      <c r="C473" s="139">
        <v>0.54166666666666696</v>
      </c>
      <c r="D473" s="3">
        <v>230.9</v>
      </c>
    </row>
    <row r="474" spans="2:4">
      <c r="B474" s="144">
        <v>42583</v>
      </c>
      <c r="C474" s="139">
        <v>0.58333333333333304</v>
      </c>
      <c r="D474" s="3">
        <v>239.2</v>
      </c>
    </row>
    <row r="475" spans="2:4">
      <c r="B475" s="144">
        <v>42583</v>
      </c>
      <c r="C475" s="139">
        <v>0.625</v>
      </c>
      <c r="D475" s="3">
        <v>248.3</v>
      </c>
    </row>
    <row r="476" spans="2:4">
      <c r="B476" s="144">
        <v>42583</v>
      </c>
      <c r="C476" s="139">
        <v>0.66666666666666696</v>
      </c>
      <c r="D476" s="3">
        <v>229.2</v>
      </c>
    </row>
    <row r="477" spans="2:4">
      <c r="B477" s="144">
        <v>42583</v>
      </c>
      <c r="C477" s="139">
        <v>0.70833333333333304</v>
      </c>
      <c r="D477" s="3">
        <v>132.4</v>
      </c>
    </row>
    <row r="478" spans="2:4">
      <c r="B478" s="144">
        <v>42583</v>
      </c>
      <c r="C478" s="139">
        <v>0.75</v>
      </c>
      <c r="D478" s="3">
        <v>0</v>
      </c>
    </row>
    <row r="479" spans="2:4">
      <c r="B479" s="144">
        <v>42583</v>
      </c>
      <c r="C479" s="139">
        <v>0.79166666666666696</v>
      </c>
      <c r="D479" s="3">
        <v>0</v>
      </c>
    </row>
    <row r="480" spans="2:4">
      <c r="B480" s="144">
        <v>42583</v>
      </c>
      <c r="C480" s="139">
        <v>0.83333333333333304</v>
      </c>
      <c r="D480" s="3">
        <v>0</v>
      </c>
    </row>
    <row r="481" spans="2:4">
      <c r="B481" s="144">
        <v>42583</v>
      </c>
      <c r="C481" s="139">
        <v>0.875</v>
      </c>
      <c r="D481" s="3">
        <v>0</v>
      </c>
    </row>
    <row r="482" spans="2:4">
      <c r="B482" s="144">
        <v>42583</v>
      </c>
      <c r="C482" s="139">
        <v>0.91666666666666696</v>
      </c>
      <c r="D482" s="3">
        <v>0</v>
      </c>
    </row>
    <row r="483" spans="2:4">
      <c r="B483" s="144">
        <v>42583</v>
      </c>
      <c r="C483" s="139">
        <v>0.95833333333333304</v>
      </c>
      <c r="D483" s="3">
        <v>0</v>
      </c>
    </row>
    <row r="484" spans="2:4">
      <c r="B484" s="144">
        <v>42614</v>
      </c>
      <c r="C484" s="139">
        <v>0</v>
      </c>
      <c r="D484" s="3">
        <v>0</v>
      </c>
    </row>
    <row r="485" spans="2:4">
      <c r="B485" s="144">
        <v>42614</v>
      </c>
      <c r="C485" s="139">
        <v>4.1666666666666664E-2</v>
      </c>
      <c r="D485" s="3">
        <v>0</v>
      </c>
    </row>
    <row r="486" spans="2:4">
      <c r="B486" s="144">
        <v>42614</v>
      </c>
      <c r="C486" s="139">
        <v>8.3333333333333301E-2</v>
      </c>
      <c r="D486" s="3">
        <v>0</v>
      </c>
    </row>
    <row r="487" spans="2:4">
      <c r="B487" s="144">
        <v>42614</v>
      </c>
      <c r="C487" s="139">
        <v>0.125</v>
      </c>
      <c r="D487" s="3">
        <v>0</v>
      </c>
    </row>
    <row r="488" spans="2:4">
      <c r="B488" s="144">
        <v>42614</v>
      </c>
      <c r="C488" s="139">
        <v>0.16666666666666699</v>
      </c>
      <c r="D488" s="3">
        <v>0</v>
      </c>
    </row>
    <row r="489" spans="2:4">
      <c r="B489" s="144">
        <v>42614</v>
      </c>
      <c r="C489" s="139">
        <v>0.20833333333333301</v>
      </c>
      <c r="D489" s="3">
        <v>0</v>
      </c>
    </row>
    <row r="490" spans="2:4">
      <c r="B490" s="144">
        <v>42614</v>
      </c>
      <c r="C490" s="139">
        <v>0.25</v>
      </c>
      <c r="D490" s="3">
        <v>66.5</v>
      </c>
    </row>
    <row r="491" spans="2:4">
      <c r="B491" s="144">
        <v>42614</v>
      </c>
      <c r="C491" s="139">
        <v>0.29166666666666702</v>
      </c>
      <c r="D491" s="3">
        <v>191.6</v>
      </c>
    </row>
    <row r="492" spans="2:4">
      <c r="B492" s="144">
        <v>42614</v>
      </c>
      <c r="C492" s="139">
        <v>0.33333333333333298</v>
      </c>
      <c r="D492" s="3">
        <v>248.9</v>
      </c>
    </row>
    <row r="493" spans="2:4">
      <c r="B493" s="144">
        <v>42614</v>
      </c>
      <c r="C493" s="139">
        <v>0.375</v>
      </c>
      <c r="D493" s="3">
        <v>237.6</v>
      </c>
    </row>
    <row r="494" spans="2:4">
      <c r="B494" s="144">
        <v>42614</v>
      </c>
      <c r="C494" s="139">
        <v>0.41666666666666702</v>
      </c>
      <c r="D494" s="3">
        <v>236.6</v>
      </c>
    </row>
    <row r="495" spans="2:4">
      <c r="B495" s="144">
        <v>42614</v>
      </c>
      <c r="C495" s="139">
        <v>0.45833333333333298</v>
      </c>
      <c r="D495" s="3">
        <v>262.60000000000002</v>
      </c>
    </row>
    <row r="496" spans="2:4">
      <c r="B496" s="144">
        <v>42614</v>
      </c>
      <c r="C496" s="139">
        <v>0.5</v>
      </c>
      <c r="D496" s="3">
        <v>258.10000000000002</v>
      </c>
    </row>
    <row r="497" spans="2:4">
      <c r="B497" s="144">
        <v>42614</v>
      </c>
      <c r="C497" s="139">
        <v>0.54166666666666696</v>
      </c>
      <c r="D497" s="3">
        <v>279.60000000000002</v>
      </c>
    </row>
    <row r="498" spans="2:4">
      <c r="B498" s="144">
        <v>42614</v>
      </c>
      <c r="C498" s="139">
        <v>0.58333333333333304</v>
      </c>
      <c r="D498" s="3">
        <v>261.2</v>
      </c>
    </row>
    <row r="499" spans="2:4">
      <c r="B499" s="144">
        <v>42614</v>
      </c>
      <c r="C499" s="139">
        <v>0.625</v>
      </c>
      <c r="D499" s="3">
        <v>240.7</v>
      </c>
    </row>
    <row r="500" spans="2:4">
      <c r="B500" s="144">
        <v>42614</v>
      </c>
      <c r="C500" s="139">
        <v>0.66666666666666696</v>
      </c>
      <c r="D500" s="3">
        <v>192</v>
      </c>
    </row>
    <row r="501" spans="2:4">
      <c r="B501" s="144">
        <v>42614</v>
      </c>
      <c r="C501" s="139">
        <v>0.70833333333333304</v>
      </c>
      <c r="D501" s="3">
        <v>69.599999999999994</v>
      </c>
    </row>
    <row r="502" spans="2:4">
      <c r="B502" s="144">
        <v>42614</v>
      </c>
      <c r="C502" s="139">
        <v>0.75</v>
      </c>
      <c r="D502" s="3">
        <v>0</v>
      </c>
    </row>
    <row r="503" spans="2:4">
      <c r="B503" s="144">
        <v>42614</v>
      </c>
      <c r="C503" s="139">
        <v>0.79166666666666696</v>
      </c>
      <c r="D503" s="3">
        <v>0</v>
      </c>
    </row>
    <row r="504" spans="2:4">
      <c r="B504" s="144">
        <v>42614</v>
      </c>
      <c r="C504" s="139">
        <v>0.83333333333333304</v>
      </c>
      <c r="D504" s="3">
        <v>0</v>
      </c>
    </row>
    <row r="505" spans="2:4">
      <c r="B505" s="144">
        <v>42614</v>
      </c>
      <c r="C505" s="139">
        <v>0.875</v>
      </c>
      <c r="D505" s="3">
        <v>0</v>
      </c>
    </row>
    <row r="506" spans="2:4">
      <c r="B506" s="144">
        <v>42614</v>
      </c>
      <c r="C506" s="139">
        <v>0.91666666666666696</v>
      </c>
      <c r="D506" s="3">
        <v>0</v>
      </c>
    </row>
    <row r="507" spans="2:4">
      <c r="B507" s="144">
        <v>42614</v>
      </c>
      <c r="C507" s="139">
        <v>0.95833333333333304</v>
      </c>
      <c r="D507" s="3">
        <v>0</v>
      </c>
    </row>
    <row r="508" spans="2:4">
      <c r="B508" s="144">
        <v>42644</v>
      </c>
      <c r="C508" s="139">
        <v>0</v>
      </c>
      <c r="D508" s="3">
        <v>0</v>
      </c>
    </row>
    <row r="509" spans="2:4">
      <c r="B509" s="144">
        <v>42644</v>
      </c>
      <c r="C509" s="139">
        <v>4.1666666666666664E-2</v>
      </c>
      <c r="D509" s="3">
        <v>0</v>
      </c>
    </row>
    <row r="510" spans="2:4">
      <c r="B510" s="144">
        <v>42644</v>
      </c>
      <c r="C510" s="139">
        <v>8.3333333333333301E-2</v>
      </c>
      <c r="D510" s="3">
        <v>0</v>
      </c>
    </row>
    <row r="511" spans="2:4">
      <c r="B511" s="144">
        <v>42644</v>
      </c>
      <c r="C511" s="139">
        <v>0.125</v>
      </c>
      <c r="D511" s="3">
        <v>0</v>
      </c>
    </row>
    <row r="512" spans="2:4">
      <c r="B512" s="144">
        <v>42644</v>
      </c>
      <c r="C512" s="139">
        <v>0.16666666666666699</v>
      </c>
      <c r="D512" s="3">
        <v>0</v>
      </c>
    </row>
    <row r="513" spans="2:4">
      <c r="B513" s="144">
        <v>42644</v>
      </c>
      <c r="C513" s="139">
        <v>0.20833333333333301</v>
      </c>
      <c r="D513" s="3">
        <v>0</v>
      </c>
    </row>
    <row r="514" spans="2:4">
      <c r="B514" s="144">
        <v>42644</v>
      </c>
      <c r="C514" s="139">
        <v>0.25</v>
      </c>
      <c r="D514" s="3">
        <v>83.1</v>
      </c>
    </row>
    <row r="515" spans="2:4">
      <c r="B515" s="144">
        <v>42644</v>
      </c>
      <c r="C515" s="139">
        <v>0.29166666666666702</v>
      </c>
      <c r="D515" s="3">
        <v>188.4</v>
      </c>
    </row>
    <row r="516" spans="2:4">
      <c r="B516" s="144">
        <v>42644</v>
      </c>
      <c r="C516" s="139">
        <v>0.33333333333333298</v>
      </c>
      <c r="D516" s="3">
        <v>243.2</v>
      </c>
    </row>
    <row r="517" spans="2:4">
      <c r="B517" s="144">
        <v>42644</v>
      </c>
      <c r="C517" s="139">
        <v>0.375</v>
      </c>
      <c r="D517" s="3">
        <v>259.8</v>
      </c>
    </row>
    <row r="518" spans="2:4">
      <c r="B518" s="144">
        <v>42644</v>
      </c>
      <c r="C518" s="139">
        <v>0.41666666666666702</v>
      </c>
      <c r="D518" s="3">
        <v>260.39999999999998</v>
      </c>
    </row>
    <row r="519" spans="2:4">
      <c r="B519" s="144">
        <v>42644</v>
      </c>
      <c r="C519" s="139">
        <v>0.45833333333333298</v>
      </c>
      <c r="D519" s="3">
        <v>258.5</v>
      </c>
    </row>
    <row r="520" spans="2:4">
      <c r="B520" s="144">
        <v>42644</v>
      </c>
      <c r="C520" s="139">
        <v>0.5</v>
      </c>
      <c r="D520" s="3">
        <v>236.6</v>
      </c>
    </row>
    <row r="521" spans="2:4">
      <c r="B521" s="144">
        <v>42644</v>
      </c>
      <c r="C521" s="139">
        <v>0.54166666666666696</v>
      </c>
      <c r="D521" s="3">
        <v>251.9</v>
      </c>
    </row>
    <row r="522" spans="2:4">
      <c r="B522" s="144">
        <v>42644</v>
      </c>
      <c r="C522" s="139">
        <v>0.58333333333333304</v>
      </c>
      <c r="D522" s="3">
        <v>245.3</v>
      </c>
    </row>
    <row r="523" spans="2:4">
      <c r="B523" s="144">
        <v>42644</v>
      </c>
      <c r="C523" s="139">
        <v>0.625</v>
      </c>
      <c r="D523" s="3">
        <v>211.3</v>
      </c>
    </row>
    <row r="524" spans="2:4">
      <c r="B524" s="144">
        <v>42644</v>
      </c>
      <c r="C524" s="139">
        <v>0.66666666666666696</v>
      </c>
      <c r="D524" s="3">
        <v>172.2</v>
      </c>
    </row>
    <row r="525" spans="2:4">
      <c r="B525" s="144">
        <v>42644</v>
      </c>
      <c r="C525" s="139">
        <v>0.70833333333333304</v>
      </c>
      <c r="D525" s="3">
        <v>58.3</v>
      </c>
    </row>
    <row r="526" spans="2:4">
      <c r="B526" s="144">
        <v>42644</v>
      </c>
      <c r="C526" s="139">
        <v>0.75</v>
      </c>
      <c r="D526" s="3">
        <v>0</v>
      </c>
    </row>
    <row r="527" spans="2:4">
      <c r="B527" s="144">
        <v>42644</v>
      </c>
      <c r="C527" s="139">
        <v>0.79166666666666696</v>
      </c>
      <c r="D527" s="3">
        <v>0</v>
      </c>
    </row>
    <row r="528" spans="2:4">
      <c r="B528" s="144">
        <v>42644</v>
      </c>
      <c r="C528" s="139">
        <v>0.83333333333333304</v>
      </c>
      <c r="D528" s="3">
        <v>0</v>
      </c>
    </row>
    <row r="529" spans="2:4">
      <c r="B529" s="144">
        <v>42644</v>
      </c>
      <c r="C529" s="139">
        <v>0.875</v>
      </c>
      <c r="D529" s="3">
        <v>0</v>
      </c>
    </row>
    <row r="530" spans="2:4">
      <c r="B530" s="144">
        <v>42644</v>
      </c>
      <c r="C530" s="139">
        <v>0.91666666666666696</v>
      </c>
      <c r="D530" s="3">
        <v>0</v>
      </c>
    </row>
    <row r="531" spans="2:4">
      <c r="B531" s="144">
        <v>42644</v>
      </c>
      <c r="C531" s="139">
        <v>0.95833333333333304</v>
      </c>
      <c r="D531" s="3">
        <v>0</v>
      </c>
    </row>
    <row r="532" spans="2:4">
      <c r="B532" s="144">
        <v>42675</v>
      </c>
      <c r="C532" s="139">
        <v>0</v>
      </c>
      <c r="D532" s="3">
        <v>0</v>
      </c>
    </row>
    <row r="533" spans="2:4">
      <c r="B533" s="144">
        <v>42675</v>
      </c>
      <c r="C533" s="139">
        <v>4.1666666666666664E-2</v>
      </c>
      <c r="D533" s="3">
        <v>0</v>
      </c>
    </row>
    <row r="534" spans="2:4">
      <c r="B534" s="144">
        <v>42675</v>
      </c>
      <c r="C534" s="139">
        <v>8.3333333333333301E-2</v>
      </c>
      <c r="D534" s="3">
        <v>0</v>
      </c>
    </row>
    <row r="535" spans="2:4">
      <c r="B535" s="144">
        <v>42675</v>
      </c>
      <c r="C535" s="139">
        <v>0.125</v>
      </c>
      <c r="D535" s="3">
        <v>0</v>
      </c>
    </row>
    <row r="536" spans="2:4">
      <c r="B536" s="144">
        <v>42675</v>
      </c>
      <c r="C536" s="139">
        <v>0.16666666666666699</v>
      </c>
      <c r="D536" s="3">
        <v>0</v>
      </c>
    </row>
    <row r="537" spans="2:4">
      <c r="B537" s="144">
        <v>42675</v>
      </c>
      <c r="C537" s="139">
        <v>0.20833333333333301</v>
      </c>
      <c r="D537" s="3">
        <v>0</v>
      </c>
    </row>
    <row r="538" spans="2:4">
      <c r="B538" s="144">
        <v>42675</v>
      </c>
      <c r="C538" s="139">
        <v>0.25</v>
      </c>
      <c r="D538" s="3">
        <v>106</v>
      </c>
    </row>
    <row r="539" spans="2:4">
      <c r="B539" s="144">
        <v>42675</v>
      </c>
      <c r="C539" s="139">
        <v>0.29166666666666702</v>
      </c>
      <c r="D539" s="3">
        <v>205.4</v>
      </c>
    </row>
    <row r="540" spans="2:4">
      <c r="B540" s="144">
        <v>42675</v>
      </c>
      <c r="C540" s="139">
        <v>0.33333333333333298</v>
      </c>
      <c r="D540" s="3">
        <v>248</v>
      </c>
    </row>
    <row r="541" spans="2:4">
      <c r="B541" s="144">
        <v>42675</v>
      </c>
      <c r="C541" s="139">
        <v>0.375</v>
      </c>
      <c r="D541" s="3">
        <v>257.3</v>
      </c>
    </row>
    <row r="542" spans="2:4">
      <c r="B542" s="144">
        <v>42675</v>
      </c>
      <c r="C542" s="139">
        <v>0.41666666666666702</v>
      </c>
      <c r="D542" s="3">
        <v>245.2</v>
      </c>
    </row>
    <row r="543" spans="2:4">
      <c r="B543" s="144">
        <v>42675</v>
      </c>
      <c r="C543" s="139">
        <v>0.45833333333333298</v>
      </c>
      <c r="D543" s="3">
        <v>241.9</v>
      </c>
    </row>
    <row r="544" spans="2:4">
      <c r="B544" s="144">
        <v>42675</v>
      </c>
      <c r="C544" s="139">
        <v>0.5</v>
      </c>
      <c r="D544" s="3">
        <v>235.8</v>
      </c>
    </row>
    <row r="545" spans="2:4">
      <c r="B545" s="144">
        <v>42675</v>
      </c>
      <c r="C545" s="139">
        <v>0.54166666666666696</v>
      </c>
      <c r="D545" s="3">
        <v>224.7</v>
      </c>
    </row>
    <row r="546" spans="2:4">
      <c r="B546" s="144">
        <v>42675</v>
      </c>
      <c r="C546" s="139">
        <v>0.58333333333333304</v>
      </c>
      <c r="D546" s="3">
        <v>215.2</v>
      </c>
    </row>
    <row r="547" spans="2:4">
      <c r="B547" s="144">
        <v>42675</v>
      </c>
      <c r="C547" s="139">
        <v>0.625</v>
      </c>
      <c r="D547" s="3">
        <v>200</v>
      </c>
    </row>
    <row r="548" spans="2:4">
      <c r="B548" s="144">
        <v>42675</v>
      </c>
      <c r="C548" s="139">
        <v>0.66666666666666696</v>
      </c>
      <c r="D548" s="3">
        <v>177.9</v>
      </c>
    </row>
    <row r="549" spans="2:4">
      <c r="B549" s="144">
        <v>42675</v>
      </c>
      <c r="C549" s="139">
        <v>0.70833333333333304</v>
      </c>
      <c r="D549" s="3">
        <v>68.599999999999994</v>
      </c>
    </row>
    <row r="550" spans="2:4">
      <c r="B550" s="144">
        <v>42675</v>
      </c>
      <c r="C550" s="139">
        <v>0.75</v>
      </c>
      <c r="D550" s="3">
        <v>0</v>
      </c>
    </row>
    <row r="551" spans="2:4">
      <c r="B551" s="144">
        <v>42675</v>
      </c>
      <c r="C551" s="139">
        <v>0.79166666666666696</v>
      </c>
      <c r="D551" s="3">
        <v>0</v>
      </c>
    </row>
    <row r="552" spans="2:4">
      <c r="B552" s="144">
        <v>42675</v>
      </c>
      <c r="C552" s="139">
        <v>0.83333333333333304</v>
      </c>
      <c r="D552" s="3">
        <v>0</v>
      </c>
    </row>
    <row r="553" spans="2:4">
      <c r="B553" s="144">
        <v>42675</v>
      </c>
      <c r="C553" s="139">
        <v>0.875</v>
      </c>
      <c r="D553" s="3">
        <v>0</v>
      </c>
    </row>
    <row r="554" spans="2:4">
      <c r="B554" s="144">
        <v>42675</v>
      </c>
      <c r="C554" s="139">
        <v>0.91666666666666696</v>
      </c>
      <c r="D554" s="3">
        <v>0</v>
      </c>
    </row>
    <row r="555" spans="2:4">
      <c r="B555" s="144">
        <v>42675</v>
      </c>
      <c r="C555" s="139">
        <v>0.95833333333333304</v>
      </c>
      <c r="D555" s="3">
        <v>0</v>
      </c>
    </row>
    <row r="556" spans="2:4">
      <c r="B556" s="144">
        <v>42705</v>
      </c>
      <c r="C556" s="139">
        <v>0</v>
      </c>
      <c r="D556" s="3">
        <v>0</v>
      </c>
    </row>
    <row r="557" spans="2:4">
      <c r="B557" s="144">
        <v>42705</v>
      </c>
      <c r="C557" s="139">
        <v>4.1666666666666664E-2</v>
      </c>
      <c r="D557" s="3">
        <v>0</v>
      </c>
    </row>
    <row r="558" spans="2:4">
      <c r="B558" s="144">
        <v>42705</v>
      </c>
      <c r="C558" s="139">
        <v>8.3333333333333301E-2</v>
      </c>
      <c r="D558" s="3">
        <v>0</v>
      </c>
    </row>
    <row r="559" spans="2:4">
      <c r="B559" s="144">
        <v>42705</v>
      </c>
      <c r="C559" s="139">
        <v>0.125</v>
      </c>
      <c r="D559" s="3">
        <v>0</v>
      </c>
    </row>
    <row r="560" spans="2:4">
      <c r="B560" s="144">
        <v>42705</v>
      </c>
      <c r="C560" s="139">
        <v>0.16666666666666699</v>
      </c>
      <c r="D560" s="3">
        <v>0</v>
      </c>
    </row>
    <row r="561" spans="2:4">
      <c r="B561" s="144">
        <v>42705</v>
      </c>
      <c r="C561" s="139">
        <v>0.20833333333333301</v>
      </c>
      <c r="D561" s="3">
        <v>0</v>
      </c>
    </row>
    <row r="562" spans="2:4">
      <c r="B562" s="144">
        <v>42705</v>
      </c>
      <c r="C562" s="139">
        <v>0.25</v>
      </c>
      <c r="D562" s="3">
        <v>63.7</v>
      </c>
    </row>
    <row r="563" spans="2:4">
      <c r="B563" s="144">
        <v>42705</v>
      </c>
      <c r="C563" s="139">
        <v>0.29166666666666702</v>
      </c>
      <c r="D563" s="3">
        <v>159.5</v>
      </c>
    </row>
    <row r="564" spans="2:4">
      <c r="B564" s="144">
        <v>42705</v>
      </c>
      <c r="C564" s="139">
        <v>0.33333333333333298</v>
      </c>
      <c r="D564" s="3">
        <v>207.1</v>
      </c>
    </row>
    <row r="565" spans="2:4">
      <c r="B565" s="144">
        <v>42705</v>
      </c>
      <c r="C565" s="139">
        <v>0.375</v>
      </c>
      <c r="D565" s="3">
        <v>241.5</v>
      </c>
    </row>
    <row r="566" spans="2:4">
      <c r="B566" s="144">
        <v>42705</v>
      </c>
      <c r="C566" s="139">
        <v>0.41666666666666702</v>
      </c>
      <c r="D566" s="3">
        <v>254.2</v>
      </c>
    </row>
    <row r="567" spans="2:4">
      <c r="B567" s="144">
        <v>42705</v>
      </c>
      <c r="C567" s="139">
        <v>0.45833333333333298</v>
      </c>
      <c r="D567" s="3">
        <v>255.9</v>
      </c>
    </row>
    <row r="568" spans="2:4">
      <c r="B568" s="144">
        <v>42705</v>
      </c>
      <c r="C568" s="139">
        <v>0.5</v>
      </c>
      <c r="D568" s="3">
        <v>251.3</v>
      </c>
    </row>
    <row r="569" spans="2:4">
      <c r="B569" s="144">
        <v>42705</v>
      </c>
      <c r="C569" s="139">
        <v>0.54166666666666696</v>
      </c>
      <c r="D569" s="3">
        <v>240</v>
      </c>
    </row>
    <row r="570" spans="2:4">
      <c r="B570" s="144">
        <v>42705</v>
      </c>
      <c r="C570" s="139">
        <v>0.58333333333333304</v>
      </c>
      <c r="D570" s="3">
        <v>228</v>
      </c>
    </row>
    <row r="571" spans="2:4">
      <c r="B571" s="144">
        <v>42705</v>
      </c>
      <c r="C571" s="139">
        <v>0.625</v>
      </c>
      <c r="D571" s="3">
        <v>201.6</v>
      </c>
    </row>
    <row r="572" spans="2:4">
      <c r="B572" s="144">
        <v>42705</v>
      </c>
      <c r="C572" s="139">
        <v>0.66666666666666696</v>
      </c>
      <c r="D572" s="3">
        <v>170.7</v>
      </c>
    </row>
    <row r="573" spans="2:4">
      <c r="B573" s="144">
        <v>42705</v>
      </c>
      <c r="C573" s="139">
        <v>0.70833333333333304</v>
      </c>
      <c r="D573" s="3">
        <v>93.6</v>
      </c>
    </row>
    <row r="574" spans="2:4">
      <c r="B574" s="144">
        <v>42705</v>
      </c>
      <c r="C574" s="139">
        <v>0.75</v>
      </c>
      <c r="D574" s="3">
        <v>0</v>
      </c>
    </row>
    <row r="575" spans="2:4">
      <c r="B575" s="144">
        <v>42705</v>
      </c>
      <c r="C575" s="139">
        <v>0.79166666666666696</v>
      </c>
      <c r="D575" s="3">
        <v>0</v>
      </c>
    </row>
    <row r="576" spans="2:4">
      <c r="B576" s="144">
        <v>42705</v>
      </c>
      <c r="C576" s="139">
        <v>0.83333333333333304</v>
      </c>
      <c r="D576" s="3">
        <v>0</v>
      </c>
    </row>
    <row r="577" spans="2:4">
      <c r="B577" s="144">
        <v>42705</v>
      </c>
      <c r="C577" s="139">
        <v>0.875</v>
      </c>
      <c r="D577" s="3">
        <v>0</v>
      </c>
    </row>
    <row r="578" spans="2:4">
      <c r="B578" s="144">
        <v>42705</v>
      </c>
      <c r="C578" s="139">
        <v>0.91666666666666696</v>
      </c>
      <c r="D578" s="3">
        <v>0</v>
      </c>
    </row>
    <row r="579" spans="2:4">
      <c r="B579" s="144">
        <v>42705</v>
      </c>
      <c r="C579" s="139">
        <v>0.95833333333333304</v>
      </c>
      <c r="D579" s="3">
        <v>0</v>
      </c>
    </row>
    <row r="580" spans="2:4">
      <c r="B580" s="144">
        <v>42736</v>
      </c>
      <c r="C580" s="139">
        <v>0</v>
      </c>
      <c r="D580" s="3">
        <v>0</v>
      </c>
    </row>
    <row r="581" spans="2:4">
      <c r="B581" s="144">
        <v>42736</v>
      </c>
      <c r="C581" s="139">
        <v>4.1666666666666664E-2</v>
      </c>
      <c r="D581" s="3">
        <v>0</v>
      </c>
    </row>
    <row r="582" spans="2:4">
      <c r="B582" s="144">
        <v>42736</v>
      </c>
      <c r="C582" s="139">
        <v>8.3333333333333301E-2</v>
      </c>
      <c r="D582" s="3">
        <v>0</v>
      </c>
    </row>
    <row r="583" spans="2:4">
      <c r="B583" s="144">
        <v>42736</v>
      </c>
      <c r="C583" s="139">
        <v>0.125</v>
      </c>
      <c r="D583" s="3">
        <v>0</v>
      </c>
    </row>
    <row r="584" spans="2:4">
      <c r="B584" s="144">
        <v>42736</v>
      </c>
      <c r="C584" s="139">
        <v>0.16666666666666699</v>
      </c>
      <c r="D584" s="3">
        <v>0</v>
      </c>
    </row>
    <row r="585" spans="2:4">
      <c r="B585" s="144">
        <v>42736</v>
      </c>
      <c r="C585" s="139">
        <v>0.20833333333333301</v>
      </c>
      <c r="D585" s="3">
        <v>0</v>
      </c>
    </row>
    <row r="586" spans="2:4">
      <c r="B586" s="144">
        <v>42736</v>
      </c>
      <c r="C586" s="139">
        <v>0.25</v>
      </c>
      <c r="D586" s="3">
        <v>21.4</v>
      </c>
    </row>
    <row r="587" spans="2:4">
      <c r="B587" s="144">
        <v>42736</v>
      </c>
      <c r="C587" s="139">
        <v>0.29166666666666702</v>
      </c>
      <c r="D587" s="3">
        <v>131.80000000000001</v>
      </c>
    </row>
    <row r="588" spans="2:4">
      <c r="B588" s="144">
        <v>42736</v>
      </c>
      <c r="C588" s="139">
        <v>0.33333333333333298</v>
      </c>
      <c r="D588" s="3">
        <v>190.4</v>
      </c>
    </row>
    <row r="589" spans="2:4">
      <c r="B589" s="144">
        <v>42736</v>
      </c>
      <c r="C589" s="139">
        <v>0.375</v>
      </c>
      <c r="D589" s="3">
        <v>229.3</v>
      </c>
    </row>
    <row r="590" spans="2:4">
      <c r="B590" s="144">
        <v>42736</v>
      </c>
      <c r="C590" s="139">
        <v>0.41666666666666702</v>
      </c>
      <c r="D590" s="3">
        <v>243.8</v>
      </c>
    </row>
    <row r="591" spans="2:4">
      <c r="B591" s="144">
        <v>42736</v>
      </c>
      <c r="C591" s="139">
        <v>0.45833333333333298</v>
      </c>
      <c r="D591" s="3">
        <v>236.3</v>
      </c>
    </row>
    <row r="592" spans="2:4">
      <c r="B592" s="144">
        <v>42736</v>
      </c>
      <c r="C592" s="139">
        <v>0.5</v>
      </c>
      <c r="D592" s="3">
        <v>246.9</v>
      </c>
    </row>
    <row r="593" spans="2:4">
      <c r="B593" s="144">
        <v>42736</v>
      </c>
      <c r="C593" s="139">
        <v>0.54166666666666696</v>
      </c>
      <c r="D593" s="3">
        <v>242</v>
      </c>
    </row>
    <row r="594" spans="2:4">
      <c r="B594" s="144">
        <v>42736</v>
      </c>
      <c r="C594" s="139">
        <v>0.58333333333333304</v>
      </c>
      <c r="D594" s="3">
        <v>240.5</v>
      </c>
    </row>
    <row r="595" spans="2:4">
      <c r="B595" s="144">
        <v>42736</v>
      </c>
      <c r="C595" s="139">
        <v>0.625</v>
      </c>
      <c r="D595" s="3">
        <v>210.9</v>
      </c>
    </row>
    <row r="596" spans="2:4">
      <c r="B596" s="144">
        <v>42736</v>
      </c>
      <c r="C596" s="139">
        <v>0.66666666666666696</v>
      </c>
      <c r="D596" s="3">
        <v>173.1</v>
      </c>
    </row>
    <row r="597" spans="2:4">
      <c r="B597" s="144">
        <v>42736</v>
      </c>
      <c r="C597" s="139">
        <v>0.70833333333333304</v>
      </c>
      <c r="D597" s="3">
        <v>119.2</v>
      </c>
    </row>
    <row r="598" spans="2:4">
      <c r="B598" s="144">
        <v>42736</v>
      </c>
      <c r="C598" s="139">
        <v>0.75</v>
      </c>
      <c r="D598" s="3">
        <v>0</v>
      </c>
    </row>
    <row r="599" spans="2:4">
      <c r="B599" s="144">
        <v>42736</v>
      </c>
      <c r="C599" s="139">
        <v>0.79166666666666696</v>
      </c>
      <c r="D599" s="3">
        <v>0</v>
      </c>
    </row>
    <row r="600" spans="2:4">
      <c r="B600" s="144">
        <v>42736</v>
      </c>
      <c r="C600" s="139">
        <v>0.83333333333333304</v>
      </c>
      <c r="D600" s="3">
        <v>0</v>
      </c>
    </row>
    <row r="601" spans="2:4">
      <c r="B601" s="144">
        <v>42736</v>
      </c>
      <c r="C601" s="139">
        <v>0.875</v>
      </c>
      <c r="D601" s="3">
        <v>0</v>
      </c>
    </row>
    <row r="602" spans="2:4">
      <c r="B602" s="144">
        <v>42736</v>
      </c>
      <c r="C602" s="139">
        <v>0.91666666666666696</v>
      </c>
      <c r="D602" s="3">
        <v>0</v>
      </c>
    </row>
    <row r="603" spans="2:4">
      <c r="B603" s="144">
        <v>42736</v>
      </c>
      <c r="C603" s="139">
        <v>0.95833333333333304</v>
      </c>
      <c r="D603" s="3">
        <v>0</v>
      </c>
    </row>
    <row r="604" spans="2:4">
      <c r="B604" s="144">
        <v>42767</v>
      </c>
      <c r="C604" s="139">
        <v>0</v>
      </c>
      <c r="D604" s="3">
        <v>0</v>
      </c>
    </row>
    <row r="605" spans="2:4">
      <c r="B605" s="144">
        <v>42767</v>
      </c>
      <c r="C605" s="139">
        <v>4.1666666666666664E-2</v>
      </c>
      <c r="D605" s="3">
        <v>0</v>
      </c>
    </row>
    <row r="606" spans="2:4">
      <c r="B606" s="144">
        <v>42767</v>
      </c>
      <c r="C606" s="139">
        <v>8.3333333333333301E-2</v>
      </c>
      <c r="D606" s="3">
        <v>0</v>
      </c>
    </row>
    <row r="607" spans="2:4">
      <c r="B607" s="144">
        <v>42767</v>
      </c>
      <c r="C607" s="139">
        <v>0.125</v>
      </c>
      <c r="D607" s="3">
        <v>0</v>
      </c>
    </row>
    <row r="608" spans="2:4">
      <c r="B608" s="144">
        <v>42767</v>
      </c>
      <c r="C608" s="139">
        <v>0.16666666666666699</v>
      </c>
      <c r="D608" s="3">
        <v>0</v>
      </c>
    </row>
    <row r="609" spans="2:4">
      <c r="B609" s="144">
        <v>42767</v>
      </c>
      <c r="C609" s="139">
        <v>0.20833333333333301</v>
      </c>
      <c r="D609" s="3">
        <v>0</v>
      </c>
    </row>
    <row r="610" spans="2:4">
      <c r="B610" s="144">
        <v>42767</v>
      </c>
      <c r="C610" s="139">
        <v>0.25</v>
      </c>
      <c r="D610" s="3">
        <v>23.1</v>
      </c>
    </row>
    <row r="611" spans="2:4">
      <c r="B611" s="144">
        <v>42767</v>
      </c>
      <c r="C611" s="139">
        <v>0.29166666666666702</v>
      </c>
      <c r="D611" s="3">
        <v>157.69999999999999</v>
      </c>
    </row>
    <row r="612" spans="2:4">
      <c r="B612" s="144">
        <v>42767</v>
      </c>
      <c r="C612" s="139">
        <v>0.33333333333333298</v>
      </c>
      <c r="D612" s="3">
        <v>227.1</v>
      </c>
    </row>
    <row r="613" spans="2:4">
      <c r="B613" s="144">
        <v>42767</v>
      </c>
      <c r="C613" s="139">
        <v>0.375</v>
      </c>
      <c r="D613" s="3">
        <v>270.5</v>
      </c>
    </row>
    <row r="614" spans="2:4">
      <c r="B614" s="144">
        <v>42767</v>
      </c>
      <c r="C614" s="139">
        <v>0.41666666666666702</v>
      </c>
      <c r="D614" s="3">
        <v>270.60000000000002</v>
      </c>
    </row>
    <row r="615" spans="2:4">
      <c r="B615" s="144">
        <v>42767</v>
      </c>
      <c r="C615" s="139">
        <v>0.45833333333333298</v>
      </c>
      <c r="D615" s="3">
        <v>271.3</v>
      </c>
    </row>
    <row r="616" spans="2:4">
      <c r="B616" s="144">
        <v>42767</v>
      </c>
      <c r="C616" s="139">
        <v>0.5</v>
      </c>
      <c r="D616" s="3">
        <v>252.6</v>
      </c>
    </row>
    <row r="617" spans="2:4">
      <c r="B617" s="144">
        <v>42767</v>
      </c>
      <c r="C617" s="139">
        <v>0.54166666666666696</v>
      </c>
      <c r="D617" s="3">
        <v>254.1</v>
      </c>
    </row>
    <row r="618" spans="2:4">
      <c r="B618" s="144">
        <v>42767</v>
      </c>
      <c r="C618" s="139">
        <v>0.58333333333333304</v>
      </c>
      <c r="D618" s="3">
        <v>283</v>
      </c>
    </row>
    <row r="619" spans="2:4">
      <c r="B619" s="144">
        <v>42767</v>
      </c>
      <c r="C619" s="139">
        <v>0.625</v>
      </c>
      <c r="D619" s="3">
        <v>269.8</v>
      </c>
    </row>
    <row r="620" spans="2:4">
      <c r="B620" s="144">
        <v>42767</v>
      </c>
      <c r="C620" s="139">
        <v>0.66666666666666696</v>
      </c>
      <c r="D620" s="3">
        <v>212.4</v>
      </c>
    </row>
    <row r="621" spans="2:4">
      <c r="B621" s="144">
        <v>42767</v>
      </c>
      <c r="C621" s="139">
        <v>0.70833333333333304</v>
      </c>
      <c r="D621" s="3">
        <v>148.5</v>
      </c>
    </row>
    <row r="622" spans="2:4">
      <c r="B622" s="144">
        <v>42767</v>
      </c>
      <c r="C622" s="139">
        <v>0.75</v>
      </c>
      <c r="D622" s="3">
        <v>0</v>
      </c>
    </row>
    <row r="623" spans="2:4">
      <c r="B623" s="144">
        <v>42767</v>
      </c>
      <c r="C623" s="139">
        <v>0.79166666666666696</v>
      </c>
      <c r="D623" s="3">
        <v>0</v>
      </c>
    </row>
    <row r="624" spans="2:4">
      <c r="B624" s="144">
        <v>42767</v>
      </c>
      <c r="C624" s="139">
        <v>0.83333333333333304</v>
      </c>
      <c r="D624" s="3">
        <v>0</v>
      </c>
    </row>
    <row r="625" spans="2:4">
      <c r="B625" s="144">
        <v>42767</v>
      </c>
      <c r="C625" s="139">
        <v>0.875</v>
      </c>
      <c r="D625" s="3">
        <v>0</v>
      </c>
    </row>
    <row r="626" spans="2:4">
      <c r="B626" s="144">
        <v>42767</v>
      </c>
      <c r="C626" s="139">
        <v>0.91666666666666696</v>
      </c>
      <c r="D626" s="3">
        <v>0</v>
      </c>
    </row>
    <row r="627" spans="2:4">
      <c r="B627" s="144">
        <v>42767</v>
      </c>
      <c r="C627" s="139">
        <v>0.95833333333333304</v>
      </c>
      <c r="D627" s="3">
        <v>0</v>
      </c>
    </row>
    <row r="628" spans="2:4">
      <c r="B628" s="144">
        <v>42795</v>
      </c>
      <c r="C628" s="139">
        <v>0</v>
      </c>
      <c r="D628" s="3">
        <v>0</v>
      </c>
    </row>
    <row r="629" spans="2:4">
      <c r="B629" s="144">
        <v>42795</v>
      </c>
      <c r="C629" s="139">
        <v>4.1666666666666664E-2</v>
      </c>
      <c r="D629" s="3">
        <v>0</v>
      </c>
    </row>
    <row r="630" spans="2:4">
      <c r="B630" s="144">
        <v>42795</v>
      </c>
      <c r="C630" s="139">
        <v>8.3333333333333301E-2</v>
      </c>
      <c r="D630" s="3">
        <v>0</v>
      </c>
    </row>
    <row r="631" spans="2:4">
      <c r="B631" s="144">
        <v>42795</v>
      </c>
      <c r="C631" s="139">
        <v>0.125</v>
      </c>
      <c r="D631" s="3">
        <v>0</v>
      </c>
    </row>
    <row r="632" spans="2:4">
      <c r="B632" s="144">
        <v>42795</v>
      </c>
      <c r="C632" s="139">
        <v>0.16666666666666699</v>
      </c>
      <c r="D632" s="3">
        <v>0</v>
      </c>
    </row>
    <row r="633" spans="2:4">
      <c r="B633" s="144">
        <v>42795</v>
      </c>
      <c r="C633" s="139">
        <v>0.20833333333333301</v>
      </c>
      <c r="D633" s="3">
        <v>0</v>
      </c>
    </row>
    <row r="634" spans="2:4">
      <c r="B634" s="144">
        <v>42795</v>
      </c>
      <c r="C634" s="139">
        <v>0.25</v>
      </c>
      <c r="D634" s="3">
        <v>29</v>
      </c>
    </row>
    <row r="635" spans="2:4">
      <c r="B635" s="144">
        <v>42795</v>
      </c>
      <c r="C635" s="139">
        <v>0.29166666666666702</v>
      </c>
      <c r="D635" s="3">
        <v>175.7</v>
      </c>
    </row>
    <row r="636" spans="2:4">
      <c r="B636" s="144">
        <v>42795</v>
      </c>
      <c r="C636" s="139">
        <v>0.33333333333333298</v>
      </c>
      <c r="D636" s="3">
        <v>249.4</v>
      </c>
    </row>
    <row r="637" spans="2:4">
      <c r="B637" s="144">
        <v>42795</v>
      </c>
      <c r="C637" s="139">
        <v>0.375</v>
      </c>
      <c r="D637" s="3">
        <v>273.89999999999998</v>
      </c>
    </row>
    <row r="638" spans="2:4">
      <c r="B638" s="144">
        <v>42795</v>
      </c>
      <c r="C638" s="139">
        <v>0.41666666666666702</v>
      </c>
      <c r="D638" s="3">
        <v>260.8</v>
      </c>
    </row>
    <row r="639" spans="2:4">
      <c r="B639" s="144">
        <v>42795</v>
      </c>
      <c r="C639" s="139">
        <v>0.45833333333333298</v>
      </c>
      <c r="D639" s="3">
        <v>266.10000000000002</v>
      </c>
    </row>
    <row r="640" spans="2:4">
      <c r="B640" s="144">
        <v>42795</v>
      </c>
      <c r="C640" s="139">
        <v>0.5</v>
      </c>
      <c r="D640" s="3">
        <v>250</v>
      </c>
    </row>
    <row r="641" spans="2:4">
      <c r="B641" s="144">
        <v>42795</v>
      </c>
      <c r="C641" s="139">
        <v>0.54166666666666696</v>
      </c>
      <c r="D641" s="3">
        <v>288.8</v>
      </c>
    </row>
    <row r="642" spans="2:4">
      <c r="B642" s="144">
        <v>42795</v>
      </c>
      <c r="C642" s="139">
        <v>0.58333333333333304</v>
      </c>
      <c r="D642" s="3">
        <v>285</v>
      </c>
    </row>
    <row r="643" spans="2:4">
      <c r="B643" s="144">
        <v>42795</v>
      </c>
      <c r="C643" s="139">
        <v>0.625</v>
      </c>
      <c r="D643" s="3">
        <v>274.8</v>
      </c>
    </row>
    <row r="644" spans="2:4">
      <c r="B644" s="144">
        <v>42795</v>
      </c>
      <c r="C644" s="139">
        <v>0.66666666666666696</v>
      </c>
      <c r="D644" s="3">
        <v>227.2</v>
      </c>
    </row>
    <row r="645" spans="2:4">
      <c r="B645" s="144">
        <v>42795</v>
      </c>
      <c r="C645" s="139">
        <v>0.70833333333333304</v>
      </c>
      <c r="D645" s="3">
        <v>130.19999999999999</v>
      </c>
    </row>
    <row r="646" spans="2:4">
      <c r="B646" s="144">
        <v>42795</v>
      </c>
      <c r="C646" s="139">
        <v>0.75</v>
      </c>
      <c r="D646" s="3">
        <v>0</v>
      </c>
    </row>
    <row r="647" spans="2:4">
      <c r="B647" s="144">
        <v>42795</v>
      </c>
      <c r="C647" s="139">
        <v>0.79166666666666696</v>
      </c>
      <c r="D647" s="3">
        <v>0</v>
      </c>
    </row>
    <row r="648" spans="2:4">
      <c r="B648" s="144">
        <v>42795</v>
      </c>
      <c r="C648" s="139">
        <v>0.83333333333333304</v>
      </c>
      <c r="D648" s="3">
        <v>0</v>
      </c>
    </row>
    <row r="649" spans="2:4">
      <c r="B649" s="144">
        <v>42795</v>
      </c>
      <c r="C649" s="139">
        <v>0.875</v>
      </c>
      <c r="D649" s="3">
        <v>0</v>
      </c>
    </row>
    <row r="650" spans="2:4">
      <c r="B650" s="144">
        <v>42795</v>
      </c>
      <c r="C650" s="139">
        <v>0.91666666666666696</v>
      </c>
      <c r="D650" s="3">
        <v>0</v>
      </c>
    </row>
    <row r="651" spans="2:4">
      <c r="B651" s="144">
        <v>42795</v>
      </c>
      <c r="C651" s="139">
        <v>0.95833333333333304</v>
      </c>
      <c r="D651" s="3">
        <v>0</v>
      </c>
    </row>
    <row r="652" spans="2:4">
      <c r="B652" s="144">
        <v>42826</v>
      </c>
      <c r="C652" s="139">
        <v>0</v>
      </c>
      <c r="D652" s="3">
        <v>0</v>
      </c>
    </row>
    <row r="653" spans="2:4">
      <c r="B653" s="144">
        <v>42826</v>
      </c>
      <c r="C653" s="139">
        <v>4.1666666666666664E-2</v>
      </c>
      <c r="D653" s="3">
        <v>0</v>
      </c>
    </row>
    <row r="654" spans="2:4">
      <c r="B654" s="144">
        <v>42826</v>
      </c>
      <c r="C654" s="139">
        <v>8.3333333333333301E-2</v>
      </c>
      <c r="D654" s="3">
        <v>0</v>
      </c>
    </row>
    <row r="655" spans="2:4">
      <c r="B655" s="144">
        <v>42826</v>
      </c>
      <c r="C655" s="139">
        <v>0.125</v>
      </c>
      <c r="D655" s="3">
        <v>0</v>
      </c>
    </row>
    <row r="656" spans="2:4">
      <c r="B656" s="144">
        <v>42826</v>
      </c>
      <c r="C656" s="139">
        <v>0.16666666666666699</v>
      </c>
      <c r="D656" s="3">
        <v>0</v>
      </c>
    </row>
    <row r="657" spans="2:4">
      <c r="B657" s="144">
        <v>42826</v>
      </c>
      <c r="C657" s="139">
        <v>0.20833333333333301</v>
      </c>
      <c r="D657" s="3">
        <v>0</v>
      </c>
    </row>
    <row r="658" spans="2:4">
      <c r="B658" s="144">
        <v>42826</v>
      </c>
      <c r="C658" s="139">
        <v>0.25</v>
      </c>
      <c r="D658" s="3">
        <v>55.5</v>
      </c>
    </row>
    <row r="659" spans="2:4">
      <c r="B659" s="144">
        <v>42826</v>
      </c>
      <c r="C659" s="139">
        <v>0.29166666666666702</v>
      </c>
      <c r="D659" s="3">
        <v>209.1</v>
      </c>
    </row>
    <row r="660" spans="2:4">
      <c r="B660" s="144">
        <v>42826</v>
      </c>
      <c r="C660" s="139">
        <v>0.33333333333333298</v>
      </c>
      <c r="D660" s="3">
        <v>278.60000000000002</v>
      </c>
    </row>
    <row r="661" spans="2:4">
      <c r="B661" s="144">
        <v>42826</v>
      </c>
      <c r="C661" s="139">
        <v>0.375</v>
      </c>
      <c r="D661" s="3">
        <v>296.10000000000002</v>
      </c>
    </row>
    <row r="662" spans="2:4">
      <c r="B662" s="144">
        <v>42826</v>
      </c>
      <c r="C662" s="139">
        <v>0.41666666666666702</v>
      </c>
      <c r="D662" s="3">
        <v>296.8</v>
      </c>
    </row>
    <row r="663" spans="2:4">
      <c r="B663" s="144">
        <v>42826</v>
      </c>
      <c r="C663" s="139">
        <v>0.45833333333333298</v>
      </c>
      <c r="D663" s="3">
        <v>313</v>
      </c>
    </row>
    <row r="664" spans="2:4">
      <c r="B664" s="144">
        <v>42826</v>
      </c>
      <c r="C664" s="139">
        <v>0.5</v>
      </c>
      <c r="D664" s="3">
        <v>275.5</v>
      </c>
    </row>
    <row r="665" spans="2:4">
      <c r="B665" s="144">
        <v>42826</v>
      </c>
      <c r="C665" s="139">
        <v>0.54166666666666696</v>
      </c>
      <c r="D665" s="3">
        <v>259.10000000000002</v>
      </c>
    </row>
    <row r="666" spans="2:4">
      <c r="B666" s="144">
        <v>42826</v>
      </c>
      <c r="C666" s="139">
        <v>0.58333333333333304</v>
      </c>
      <c r="D666" s="3">
        <v>266.7</v>
      </c>
    </row>
    <row r="667" spans="2:4">
      <c r="B667" s="144">
        <v>42826</v>
      </c>
      <c r="C667" s="139">
        <v>0.625</v>
      </c>
      <c r="D667" s="3">
        <v>250</v>
      </c>
    </row>
    <row r="668" spans="2:4">
      <c r="B668" s="144">
        <v>42826</v>
      </c>
      <c r="C668" s="139">
        <v>0.66666666666666696</v>
      </c>
      <c r="D668" s="3">
        <v>218.5</v>
      </c>
    </row>
    <row r="669" spans="2:4">
      <c r="B669" s="144">
        <v>42826</v>
      </c>
      <c r="C669" s="139">
        <v>0.70833333333333304</v>
      </c>
      <c r="D669" s="3">
        <v>88.1</v>
      </c>
    </row>
    <row r="670" spans="2:4">
      <c r="B670" s="144">
        <v>42826</v>
      </c>
      <c r="C670" s="139">
        <v>0.75</v>
      </c>
      <c r="D670" s="3">
        <v>0</v>
      </c>
    </row>
    <row r="671" spans="2:4">
      <c r="B671" s="144">
        <v>42826</v>
      </c>
      <c r="C671" s="139">
        <v>0.79166666666666696</v>
      </c>
      <c r="D671" s="3">
        <v>0</v>
      </c>
    </row>
    <row r="672" spans="2:4">
      <c r="B672" s="144">
        <v>42826</v>
      </c>
      <c r="C672" s="139">
        <v>0.83333333333333304</v>
      </c>
      <c r="D672" s="3">
        <v>0</v>
      </c>
    </row>
    <row r="673" spans="2:4">
      <c r="B673" s="144">
        <v>42826</v>
      </c>
      <c r="C673" s="139">
        <v>0.875</v>
      </c>
      <c r="D673" s="3">
        <v>0</v>
      </c>
    </row>
    <row r="674" spans="2:4">
      <c r="B674" s="144">
        <v>42826</v>
      </c>
      <c r="C674" s="139">
        <v>0.91666666666666696</v>
      </c>
      <c r="D674" s="3">
        <v>0</v>
      </c>
    </row>
    <row r="675" spans="2:4">
      <c r="B675" s="144">
        <v>42826</v>
      </c>
      <c r="C675" s="139">
        <v>0.95833333333333304</v>
      </c>
      <c r="D675" s="3">
        <v>0</v>
      </c>
    </row>
    <row r="676" spans="2:4">
      <c r="B676" s="144">
        <v>42856</v>
      </c>
      <c r="C676" s="139">
        <v>0</v>
      </c>
      <c r="D676" s="3">
        <v>0</v>
      </c>
    </row>
    <row r="677" spans="2:4">
      <c r="B677" s="144">
        <v>42856</v>
      </c>
      <c r="C677" s="139">
        <v>4.1666666666666664E-2</v>
      </c>
      <c r="D677" s="3">
        <v>0</v>
      </c>
    </row>
    <row r="678" spans="2:4">
      <c r="B678" s="144">
        <v>42856</v>
      </c>
      <c r="C678" s="139">
        <v>8.3333333333333301E-2</v>
      </c>
      <c r="D678" s="3">
        <v>0</v>
      </c>
    </row>
    <row r="679" spans="2:4">
      <c r="B679" s="144">
        <v>42856</v>
      </c>
      <c r="C679" s="139">
        <v>0.125</v>
      </c>
      <c r="D679" s="3">
        <v>0</v>
      </c>
    </row>
    <row r="680" spans="2:4">
      <c r="B680" s="144">
        <v>42856</v>
      </c>
      <c r="C680" s="139">
        <v>0.16666666666666699</v>
      </c>
      <c r="D680" s="3">
        <v>0</v>
      </c>
    </row>
    <row r="681" spans="2:4">
      <c r="B681" s="144">
        <v>42856</v>
      </c>
      <c r="C681" s="139">
        <v>0.20833333333333301</v>
      </c>
      <c r="D681" s="3">
        <v>0</v>
      </c>
    </row>
    <row r="682" spans="2:4">
      <c r="B682" s="144">
        <v>42856</v>
      </c>
      <c r="C682" s="139">
        <v>0.25</v>
      </c>
      <c r="D682" s="3">
        <v>83.6</v>
      </c>
    </row>
    <row r="683" spans="2:4">
      <c r="B683" s="144">
        <v>42856</v>
      </c>
      <c r="C683" s="139">
        <v>0.29166666666666702</v>
      </c>
      <c r="D683" s="3">
        <v>224.3</v>
      </c>
    </row>
    <row r="684" spans="2:4">
      <c r="B684" s="144">
        <v>42856</v>
      </c>
      <c r="C684" s="139">
        <v>0.33333333333333298</v>
      </c>
      <c r="D684" s="3">
        <v>283.3</v>
      </c>
    </row>
    <row r="685" spans="2:4">
      <c r="B685" s="144">
        <v>42856</v>
      </c>
      <c r="C685" s="139">
        <v>0.375</v>
      </c>
      <c r="D685" s="3">
        <v>289.39999999999998</v>
      </c>
    </row>
    <row r="686" spans="2:4">
      <c r="B686" s="144">
        <v>42856</v>
      </c>
      <c r="C686" s="139">
        <v>0.41666666666666702</v>
      </c>
      <c r="D686" s="3">
        <v>282.8</v>
      </c>
    </row>
    <row r="687" spans="2:4">
      <c r="B687" s="144">
        <v>42856</v>
      </c>
      <c r="C687" s="139">
        <v>0.45833333333333298</v>
      </c>
      <c r="D687" s="3">
        <v>286.60000000000002</v>
      </c>
    </row>
    <row r="688" spans="2:4">
      <c r="B688" s="144">
        <v>42856</v>
      </c>
      <c r="C688" s="139">
        <v>0.5</v>
      </c>
      <c r="D688" s="3">
        <v>270.5</v>
      </c>
    </row>
    <row r="689" spans="2:4">
      <c r="B689" s="144">
        <v>42856</v>
      </c>
      <c r="C689" s="139">
        <v>0.54166666666666696</v>
      </c>
      <c r="D689" s="3">
        <v>266.10000000000002</v>
      </c>
    </row>
    <row r="690" spans="2:4">
      <c r="B690" s="144">
        <v>42856</v>
      </c>
      <c r="C690" s="139">
        <v>0.58333333333333304</v>
      </c>
      <c r="D690" s="3">
        <v>246</v>
      </c>
    </row>
    <row r="691" spans="2:4">
      <c r="B691" s="144">
        <v>42856</v>
      </c>
      <c r="C691" s="139">
        <v>0.625</v>
      </c>
      <c r="D691" s="3">
        <v>224</v>
      </c>
    </row>
    <row r="692" spans="2:4">
      <c r="B692" s="144">
        <v>42856</v>
      </c>
      <c r="C692" s="139">
        <v>0.66666666666666696</v>
      </c>
      <c r="D692" s="3">
        <v>205.8</v>
      </c>
    </row>
    <row r="693" spans="2:4">
      <c r="B693" s="144">
        <v>42856</v>
      </c>
      <c r="C693" s="139">
        <v>0.70833333333333304</v>
      </c>
      <c r="D693" s="3">
        <v>89.4</v>
      </c>
    </row>
    <row r="694" spans="2:4">
      <c r="B694" s="144">
        <v>42856</v>
      </c>
      <c r="C694" s="139">
        <v>0.75</v>
      </c>
      <c r="D694" s="3">
        <v>0</v>
      </c>
    </row>
    <row r="695" spans="2:4">
      <c r="B695" s="144">
        <v>42856</v>
      </c>
      <c r="C695" s="139">
        <v>0.79166666666666696</v>
      </c>
      <c r="D695" s="3">
        <v>0</v>
      </c>
    </row>
    <row r="696" spans="2:4">
      <c r="B696" s="144">
        <v>42856</v>
      </c>
      <c r="C696" s="139">
        <v>0.83333333333333304</v>
      </c>
      <c r="D696" s="3">
        <v>0</v>
      </c>
    </row>
    <row r="697" spans="2:4">
      <c r="B697" s="144">
        <v>42856</v>
      </c>
      <c r="C697" s="139">
        <v>0.875</v>
      </c>
      <c r="D697" s="3">
        <v>0</v>
      </c>
    </row>
    <row r="698" spans="2:4">
      <c r="B698" s="144">
        <v>42856</v>
      </c>
      <c r="C698" s="139">
        <v>0.91666666666666696</v>
      </c>
      <c r="D698" s="3">
        <v>0</v>
      </c>
    </row>
    <row r="699" spans="2:4">
      <c r="B699" s="144">
        <v>42856</v>
      </c>
      <c r="C699" s="139">
        <v>0.95833333333333304</v>
      </c>
      <c r="D699" s="3">
        <v>0</v>
      </c>
    </row>
    <row r="700" spans="2:4">
      <c r="B700" s="144">
        <v>42887</v>
      </c>
      <c r="C700" s="139">
        <v>0</v>
      </c>
      <c r="D700" s="3">
        <v>0</v>
      </c>
    </row>
    <row r="701" spans="2:4">
      <c r="B701" s="144">
        <v>42887</v>
      </c>
      <c r="C701" s="139">
        <v>4.1666666666666664E-2</v>
      </c>
      <c r="D701" s="3">
        <v>0</v>
      </c>
    </row>
    <row r="702" spans="2:4">
      <c r="B702" s="144">
        <v>42887</v>
      </c>
      <c r="C702" s="139">
        <v>8.3333333333333301E-2</v>
      </c>
      <c r="D702" s="3">
        <v>0</v>
      </c>
    </row>
    <row r="703" spans="2:4">
      <c r="B703" s="144">
        <v>42887</v>
      </c>
      <c r="C703" s="139">
        <v>0.125</v>
      </c>
      <c r="D703" s="3">
        <v>0</v>
      </c>
    </row>
    <row r="704" spans="2:4">
      <c r="B704" s="144">
        <v>42887</v>
      </c>
      <c r="C704" s="139">
        <v>0.16666666666666699</v>
      </c>
      <c r="D704" s="3">
        <v>0</v>
      </c>
    </row>
    <row r="705" spans="2:4">
      <c r="B705" s="144">
        <v>42887</v>
      </c>
      <c r="C705" s="139">
        <v>0.20833333333333301</v>
      </c>
      <c r="D705" s="3">
        <v>0</v>
      </c>
    </row>
    <row r="706" spans="2:4">
      <c r="B706" s="144">
        <v>42887</v>
      </c>
      <c r="C706" s="139">
        <v>0.25</v>
      </c>
      <c r="D706" s="3">
        <v>58.4</v>
      </c>
    </row>
    <row r="707" spans="2:4">
      <c r="B707" s="144">
        <v>42887</v>
      </c>
      <c r="C707" s="139">
        <v>0.29166666666666702</v>
      </c>
      <c r="D707" s="3">
        <v>211.4</v>
      </c>
    </row>
    <row r="708" spans="2:4">
      <c r="B708" s="144">
        <v>42887</v>
      </c>
      <c r="C708" s="139">
        <v>0.33333333333333298</v>
      </c>
      <c r="D708" s="3">
        <v>253.1</v>
      </c>
    </row>
    <row r="709" spans="2:4">
      <c r="B709" s="144">
        <v>42887</v>
      </c>
      <c r="C709" s="139">
        <v>0.375</v>
      </c>
      <c r="D709" s="3">
        <v>262.2</v>
      </c>
    </row>
    <row r="710" spans="2:4">
      <c r="B710" s="144">
        <v>42887</v>
      </c>
      <c r="C710" s="139">
        <v>0.41666666666666702</v>
      </c>
      <c r="D710" s="3">
        <v>260.2</v>
      </c>
    </row>
    <row r="711" spans="2:4">
      <c r="B711" s="144">
        <v>42887</v>
      </c>
      <c r="C711" s="139">
        <v>0.45833333333333298</v>
      </c>
      <c r="D711" s="3">
        <v>259.7</v>
      </c>
    </row>
    <row r="712" spans="2:4">
      <c r="B712" s="144">
        <v>42887</v>
      </c>
      <c r="C712" s="139">
        <v>0.5</v>
      </c>
      <c r="D712" s="3">
        <v>269.10000000000002</v>
      </c>
    </row>
    <row r="713" spans="2:4">
      <c r="B713" s="144">
        <v>42887</v>
      </c>
      <c r="C713" s="139">
        <v>0.54166666666666696</v>
      </c>
      <c r="D713" s="3">
        <v>243.3</v>
      </c>
    </row>
    <row r="714" spans="2:4">
      <c r="B714" s="144">
        <v>42887</v>
      </c>
      <c r="C714" s="139">
        <v>0.58333333333333304</v>
      </c>
      <c r="D714" s="3">
        <v>220.1</v>
      </c>
    </row>
    <row r="715" spans="2:4">
      <c r="B715" s="144">
        <v>42887</v>
      </c>
      <c r="C715" s="139">
        <v>0.625</v>
      </c>
      <c r="D715" s="3">
        <v>204.8</v>
      </c>
    </row>
    <row r="716" spans="2:4">
      <c r="B716" s="144">
        <v>42887</v>
      </c>
      <c r="C716" s="139">
        <v>0.66666666666666696</v>
      </c>
      <c r="D716" s="3">
        <v>192.5</v>
      </c>
    </row>
    <row r="717" spans="2:4">
      <c r="B717" s="144">
        <v>42887</v>
      </c>
      <c r="C717" s="139">
        <v>0.70833333333333304</v>
      </c>
      <c r="D717" s="3">
        <v>80.8</v>
      </c>
    </row>
    <row r="718" spans="2:4">
      <c r="B718" s="144">
        <v>42887</v>
      </c>
      <c r="C718" s="139">
        <v>0.75</v>
      </c>
      <c r="D718" s="3">
        <v>0</v>
      </c>
    </row>
    <row r="719" spans="2:4">
      <c r="B719" s="144">
        <v>42887</v>
      </c>
      <c r="C719" s="139">
        <v>0.79166666666666696</v>
      </c>
      <c r="D719" s="3">
        <v>0</v>
      </c>
    </row>
    <row r="720" spans="2:4">
      <c r="B720" s="144">
        <v>42887</v>
      </c>
      <c r="C720" s="139">
        <v>0.83333333333333304</v>
      </c>
      <c r="D720" s="3">
        <v>0</v>
      </c>
    </row>
    <row r="721" spans="2:4">
      <c r="B721" s="144">
        <v>42887</v>
      </c>
      <c r="C721" s="139">
        <v>0.875</v>
      </c>
      <c r="D721" s="3">
        <v>0</v>
      </c>
    </row>
    <row r="722" spans="2:4">
      <c r="B722" s="144">
        <v>42887</v>
      </c>
      <c r="C722" s="139">
        <v>0.91666666666666696</v>
      </c>
      <c r="D722" s="3">
        <v>0</v>
      </c>
    </row>
    <row r="723" spans="2:4">
      <c r="B723" s="144">
        <v>42887</v>
      </c>
      <c r="C723" s="139">
        <v>0.95833333333333304</v>
      </c>
      <c r="D723" s="3">
        <v>0</v>
      </c>
    </row>
    <row r="724" spans="2:4">
      <c r="B724" s="144">
        <v>42917</v>
      </c>
      <c r="C724" s="139">
        <v>0</v>
      </c>
      <c r="D724" s="3">
        <v>0</v>
      </c>
    </row>
    <row r="725" spans="2:4">
      <c r="B725" s="144">
        <v>42917</v>
      </c>
      <c r="C725" s="139">
        <v>4.1666666666666664E-2</v>
      </c>
      <c r="D725" s="3">
        <v>0</v>
      </c>
    </row>
    <row r="726" spans="2:4">
      <c r="B726" s="144">
        <v>42917</v>
      </c>
      <c r="C726" s="139">
        <v>8.3333333333333301E-2</v>
      </c>
      <c r="D726" s="3">
        <v>0</v>
      </c>
    </row>
    <row r="727" spans="2:4">
      <c r="B727" s="144">
        <v>42917</v>
      </c>
      <c r="C727" s="139">
        <v>0.125</v>
      </c>
      <c r="D727" s="3">
        <v>0</v>
      </c>
    </row>
    <row r="728" spans="2:4">
      <c r="B728" s="144">
        <v>42917</v>
      </c>
      <c r="C728" s="139">
        <v>0.16666666666666699</v>
      </c>
      <c r="D728" s="3">
        <v>0</v>
      </c>
    </row>
    <row r="729" spans="2:4">
      <c r="B729" s="144">
        <v>42917</v>
      </c>
      <c r="C729" s="139">
        <v>0.20833333333333301</v>
      </c>
      <c r="D729" s="3">
        <v>0</v>
      </c>
    </row>
    <row r="730" spans="2:4">
      <c r="B730" s="144">
        <v>42917</v>
      </c>
      <c r="C730" s="139">
        <v>0.25</v>
      </c>
      <c r="D730" s="3">
        <v>34.200000000000003</v>
      </c>
    </row>
    <row r="731" spans="2:4">
      <c r="B731" s="144">
        <v>42917</v>
      </c>
      <c r="C731" s="139">
        <v>0.29166666666666702</v>
      </c>
      <c r="D731" s="3">
        <v>202.1</v>
      </c>
    </row>
    <row r="732" spans="2:4">
      <c r="B732" s="144">
        <v>42917</v>
      </c>
      <c r="C732" s="139">
        <v>0.33333333333333298</v>
      </c>
      <c r="D732" s="3">
        <v>258.89999999999998</v>
      </c>
    </row>
    <row r="733" spans="2:4">
      <c r="B733" s="144">
        <v>42917</v>
      </c>
      <c r="C733" s="139">
        <v>0.375</v>
      </c>
      <c r="D733" s="3">
        <v>252.9</v>
      </c>
    </row>
    <row r="734" spans="2:4">
      <c r="B734" s="144">
        <v>42917</v>
      </c>
      <c r="C734" s="139">
        <v>0.41666666666666702</v>
      </c>
      <c r="D734" s="3">
        <v>241.5</v>
      </c>
    </row>
    <row r="735" spans="2:4">
      <c r="B735" s="144">
        <v>42917</v>
      </c>
      <c r="C735" s="139">
        <v>0.45833333333333298</v>
      </c>
      <c r="D735" s="3">
        <v>261.7</v>
      </c>
    </row>
    <row r="736" spans="2:4">
      <c r="B736" s="144">
        <v>42917</v>
      </c>
      <c r="C736" s="139">
        <v>0.5</v>
      </c>
      <c r="D736" s="3">
        <v>267</v>
      </c>
    </row>
    <row r="737" spans="2:4">
      <c r="B737" s="144">
        <v>42917</v>
      </c>
      <c r="C737" s="139">
        <v>0.54166666666666696</v>
      </c>
      <c r="D737" s="3">
        <v>258.5</v>
      </c>
    </row>
    <row r="738" spans="2:4">
      <c r="B738" s="144">
        <v>42917</v>
      </c>
      <c r="C738" s="139">
        <v>0.58333333333333304</v>
      </c>
      <c r="D738" s="3">
        <v>248.8</v>
      </c>
    </row>
    <row r="739" spans="2:4">
      <c r="B739" s="144">
        <v>42917</v>
      </c>
      <c r="C739" s="139">
        <v>0.625</v>
      </c>
      <c r="D739" s="3">
        <v>231.9</v>
      </c>
    </row>
    <row r="740" spans="2:4">
      <c r="B740" s="144">
        <v>42917</v>
      </c>
      <c r="C740" s="139">
        <v>0.66666666666666696</v>
      </c>
      <c r="D740" s="3">
        <v>213.9</v>
      </c>
    </row>
    <row r="741" spans="2:4">
      <c r="B741" s="144">
        <v>42917</v>
      </c>
      <c r="C741" s="139">
        <v>0.70833333333333304</v>
      </c>
      <c r="D741" s="3">
        <v>128.5</v>
      </c>
    </row>
    <row r="742" spans="2:4">
      <c r="B742" s="144">
        <v>42917</v>
      </c>
      <c r="C742" s="139">
        <v>0.75</v>
      </c>
      <c r="D742" s="3">
        <v>0</v>
      </c>
    </row>
    <row r="743" spans="2:4">
      <c r="B743" s="144">
        <v>42917</v>
      </c>
      <c r="C743" s="139">
        <v>0.79166666666666696</v>
      </c>
      <c r="D743" s="3">
        <v>0</v>
      </c>
    </row>
    <row r="744" spans="2:4">
      <c r="B744" s="144">
        <v>42917</v>
      </c>
      <c r="C744" s="139">
        <v>0.83333333333333304</v>
      </c>
      <c r="D744" s="3">
        <v>0</v>
      </c>
    </row>
    <row r="745" spans="2:4">
      <c r="B745" s="144">
        <v>42917</v>
      </c>
      <c r="C745" s="139">
        <v>0.875</v>
      </c>
      <c r="D745" s="3">
        <v>0</v>
      </c>
    </row>
    <row r="746" spans="2:4">
      <c r="B746" s="144">
        <v>42917</v>
      </c>
      <c r="C746" s="139">
        <v>0.91666666666666696</v>
      </c>
      <c r="D746" s="3">
        <v>0</v>
      </c>
    </row>
    <row r="747" spans="2:4">
      <c r="B747" s="144">
        <v>42917</v>
      </c>
      <c r="C747" s="139">
        <v>0.95833333333333304</v>
      </c>
      <c r="D747" s="3">
        <v>0</v>
      </c>
    </row>
    <row r="748" spans="2:4">
      <c r="B748" s="144">
        <v>42948</v>
      </c>
      <c r="C748" s="139">
        <v>0</v>
      </c>
      <c r="D748" s="3">
        <v>0</v>
      </c>
    </row>
    <row r="749" spans="2:4">
      <c r="B749" s="144">
        <v>42948</v>
      </c>
      <c r="C749" s="139">
        <v>4.1666666666666664E-2</v>
      </c>
      <c r="D749" s="3">
        <v>0</v>
      </c>
    </row>
    <row r="750" spans="2:4">
      <c r="B750" s="144">
        <v>42948</v>
      </c>
      <c r="C750" s="139">
        <v>8.3333333333333301E-2</v>
      </c>
      <c r="D750" s="3">
        <v>0</v>
      </c>
    </row>
    <row r="751" spans="2:4">
      <c r="B751" s="144">
        <v>42948</v>
      </c>
      <c r="C751" s="139">
        <v>0.125</v>
      </c>
      <c r="D751" s="3">
        <v>0</v>
      </c>
    </row>
    <row r="752" spans="2:4">
      <c r="B752" s="144">
        <v>42948</v>
      </c>
      <c r="C752" s="139">
        <v>0.16666666666666699</v>
      </c>
      <c r="D752" s="3">
        <v>0</v>
      </c>
    </row>
    <row r="753" spans="2:4">
      <c r="B753" s="144">
        <v>42948</v>
      </c>
      <c r="C753" s="139">
        <v>0.20833333333333301</v>
      </c>
      <c r="D753" s="3">
        <v>0</v>
      </c>
    </row>
    <row r="754" spans="2:4">
      <c r="B754" s="144">
        <v>42948</v>
      </c>
      <c r="C754" s="139">
        <v>0.25</v>
      </c>
      <c r="D754" s="3">
        <v>33.1</v>
      </c>
    </row>
    <row r="755" spans="2:4">
      <c r="B755" s="144">
        <v>42948</v>
      </c>
      <c r="C755" s="139">
        <v>0.29166666666666702</v>
      </c>
      <c r="D755" s="3">
        <v>198.4</v>
      </c>
    </row>
    <row r="756" spans="2:4">
      <c r="B756" s="144">
        <v>42948</v>
      </c>
      <c r="C756" s="139">
        <v>0.33333333333333298</v>
      </c>
      <c r="D756" s="3">
        <v>260.5</v>
      </c>
    </row>
    <row r="757" spans="2:4">
      <c r="B757" s="144">
        <v>42948</v>
      </c>
      <c r="C757" s="139">
        <v>0.375</v>
      </c>
      <c r="D757" s="3">
        <v>242.9</v>
      </c>
    </row>
    <row r="758" spans="2:4">
      <c r="B758" s="144">
        <v>42948</v>
      </c>
      <c r="C758" s="139">
        <v>0.41666666666666702</v>
      </c>
      <c r="D758" s="3">
        <v>228.4</v>
      </c>
    </row>
    <row r="759" spans="2:4">
      <c r="B759" s="144">
        <v>42948</v>
      </c>
      <c r="C759" s="139">
        <v>0.45833333333333298</v>
      </c>
      <c r="D759" s="3">
        <v>234.3</v>
      </c>
    </row>
    <row r="760" spans="2:4">
      <c r="B760" s="144">
        <v>42948</v>
      </c>
      <c r="C760" s="139">
        <v>0.5</v>
      </c>
      <c r="D760" s="3">
        <v>228</v>
      </c>
    </row>
    <row r="761" spans="2:4">
      <c r="B761" s="144">
        <v>42948</v>
      </c>
      <c r="C761" s="139">
        <v>0.54166666666666696</v>
      </c>
      <c r="D761" s="3">
        <v>230.9</v>
      </c>
    </row>
    <row r="762" spans="2:4">
      <c r="B762" s="144">
        <v>42948</v>
      </c>
      <c r="C762" s="139">
        <v>0.58333333333333304</v>
      </c>
      <c r="D762" s="3">
        <v>239.2</v>
      </c>
    </row>
    <row r="763" spans="2:4">
      <c r="B763" s="144">
        <v>42948</v>
      </c>
      <c r="C763" s="139">
        <v>0.625</v>
      </c>
      <c r="D763" s="3">
        <v>248.3</v>
      </c>
    </row>
    <row r="764" spans="2:4">
      <c r="B764" s="144">
        <v>42948</v>
      </c>
      <c r="C764" s="139">
        <v>0.66666666666666696</v>
      </c>
      <c r="D764" s="3">
        <v>229.2</v>
      </c>
    </row>
    <row r="765" spans="2:4">
      <c r="B765" s="144">
        <v>42948</v>
      </c>
      <c r="C765" s="139">
        <v>0.70833333333333304</v>
      </c>
      <c r="D765" s="3">
        <v>132.4</v>
      </c>
    </row>
    <row r="766" spans="2:4">
      <c r="B766" s="144">
        <v>42948</v>
      </c>
      <c r="C766" s="139">
        <v>0.75</v>
      </c>
      <c r="D766" s="3">
        <v>0</v>
      </c>
    </row>
    <row r="767" spans="2:4">
      <c r="B767" s="144">
        <v>42948</v>
      </c>
      <c r="C767" s="139">
        <v>0.79166666666666696</v>
      </c>
      <c r="D767" s="3">
        <v>0</v>
      </c>
    </row>
    <row r="768" spans="2:4">
      <c r="B768" s="144">
        <v>42948</v>
      </c>
      <c r="C768" s="139">
        <v>0.83333333333333304</v>
      </c>
      <c r="D768" s="3">
        <v>0</v>
      </c>
    </row>
    <row r="769" spans="2:4">
      <c r="B769" s="144">
        <v>42948</v>
      </c>
      <c r="C769" s="139">
        <v>0.875</v>
      </c>
      <c r="D769" s="3">
        <v>0</v>
      </c>
    </row>
    <row r="770" spans="2:4">
      <c r="B770" s="144">
        <v>42948</v>
      </c>
      <c r="C770" s="139">
        <v>0.91666666666666696</v>
      </c>
      <c r="D770" s="3">
        <v>0</v>
      </c>
    </row>
    <row r="771" spans="2:4">
      <c r="B771" s="144">
        <v>42948</v>
      </c>
      <c r="C771" s="139">
        <v>0.95833333333333304</v>
      </c>
      <c r="D771" s="3">
        <v>0</v>
      </c>
    </row>
    <row r="772" spans="2:4">
      <c r="B772" s="144">
        <v>42979</v>
      </c>
      <c r="C772" s="139">
        <v>0</v>
      </c>
      <c r="D772" s="3">
        <v>0</v>
      </c>
    </row>
    <row r="773" spans="2:4">
      <c r="B773" s="144">
        <v>42979</v>
      </c>
      <c r="C773" s="139">
        <v>4.1666666666666664E-2</v>
      </c>
      <c r="D773" s="3">
        <v>0</v>
      </c>
    </row>
    <row r="774" spans="2:4">
      <c r="B774" s="144">
        <v>42979</v>
      </c>
      <c r="C774" s="139">
        <v>8.3333333333333301E-2</v>
      </c>
      <c r="D774" s="3">
        <v>0</v>
      </c>
    </row>
    <row r="775" spans="2:4">
      <c r="B775" s="144">
        <v>42979</v>
      </c>
      <c r="C775" s="139">
        <v>0.125</v>
      </c>
      <c r="D775" s="3">
        <v>0</v>
      </c>
    </row>
    <row r="776" spans="2:4">
      <c r="B776" s="144">
        <v>42979</v>
      </c>
      <c r="C776" s="139">
        <v>0.16666666666666699</v>
      </c>
      <c r="D776" s="3">
        <v>0</v>
      </c>
    </row>
    <row r="777" spans="2:4">
      <c r="B777" s="144">
        <v>42979</v>
      </c>
      <c r="C777" s="139">
        <v>0.20833333333333301</v>
      </c>
      <c r="D777" s="3">
        <v>0</v>
      </c>
    </row>
    <row r="778" spans="2:4">
      <c r="B778" s="144">
        <v>42979</v>
      </c>
      <c r="C778" s="139">
        <v>0.25</v>
      </c>
      <c r="D778" s="3">
        <v>66.5</v>
      </c>
    </row>
    <row r="779" spans="2:4">
      <c r="B779" s="144">
        <v>42979</v>
      </c>
      <c r="C779" s="139">
        <v>0.29166666666666702</v>
      </c>
      <c r="D779" s="3">
        <v>191.6</v>
      </c>
    </row>
    <row r="780" spans="2:4">
      <c r="B780" s="144">
        <v>42979</v>
      </c>
      <c r="C780" s="139">
        <v>0.33333333333333298</v>
      </c>
      <c r="D780" s="3">
        <v>248.9</v>
      </c>
    </row>
    <row r="781" spans="2:4">
      <c r="B781" s="144">
        <v>42979</v>
      </c>
      <c r="C781" s="139">
        <v>0.375</v>
      </c>
      <c r="D781" s="3">
        <v>237.6</v>
      </c>
    </row>
    <row r="782" spans="2:4">
      <c r="B782" s="144">
        <v>42979</v>
      </c>
      <c r="C782" s="139">
        <v>0.41666666666666702</v>
      </c>
      <c r="D782" s="3">
        <v>236.6</v>
      </c>
    </row>
    <row r="783" spans="2:4">
      <c r="B783" s="144">
        <v>42979</v>
      </c>
      <c r="C783" s="139">
        <v>0.45833333333333298</v>
      </c>
      <c r="D783" s="3">
        <v>262.60000000000002</v>
      </c>
    </row>
    <row r="784" spans="2:4">
      <c r="B784" s="144">
        <v>42979</v>
      </c>
      <c r="C784" s="139">
        <v>0.5</v>
      </c>
      <c r="D784" s="3">
        <v>258.10000000000002</v>
      </c>
    </row>
    <row r="785" spans="2:4">
      <c r="B785" s="144">
        <v>42979</v>
      </c>
      <c r="C785" s="139">
        <v>0.54166666666666696</v>
      </c>
      <c r="D785" s="3">
        <v>279.60000000000002</v>
      </c>
    </row>
    <row r="786" spans="2:4">
      <c r="B786" s="144">
        <v>42979</v>
      </c>
      <c r="C786" s="139">
        <v>0.58333333333333304</v>
      </c>
      <c r="D786" s="3">
        <v>261.2</v>
      </c>
    </row>
    <row r="787" spans="2:4">
      <c r="B787" s="144">
        <v>42979</v>
      </c>
      <c r="C787" s="139">
        <v>0.625</v>
      </c>
      <c r="D787" s="3">
        <v>240.7</v>
      </c>
    </row>
    <row r="788" spans="2:4">
      <c r="B788" s="144">
        <v>42979</v>
      </c>
      <c r="C788" s="139">
        <v>0.66666666666666696</v>
      </c>
      <c r="D788" s="3">
        <v>192</v>
      </c>
    </row>
    <row r="789" spans="2:4">
      <c r="B789" s="144">
        <v>42979</v>
      </c>
      <c r="C789" s="139">
        <v>0.70833333333333304</v>
      </c>
      <c r="D789" s="3">
        <v>69.599999999999994</v>
      </c>
    </row>
    <row r="790" spans="2:4">
      <c r="B790" s="144">
        <v>42979</v>
      </c>
      <c r="C790" s="139">
        <v>0.75</v>
      </c>
      <c r="D790" s="3">
        <v>0</v>
      </c>
    </row>
    <row r="791" spans="2:4">
      <c r="B791" s="144">
        <v>42979</v>
      </c>
      <c r="C791" s="139">
        <v>0.79166666666666696</v>
      </c>
      <c r="D791" s="3">
        <v>0</v>
      </c>
    </row>
    <row r="792" spans="2:4">
      <c r="B792" s="144">
        <v>42979</v>
      </c>
      <c r="C792" s="139">
        <v>0.83333333333333304</v>
      </c>
      <c r="D792" s="3">
        <v>0</v>
      </c>
    </row>
    <row r="793" spans="2:4">
      <c r="B793" s="144">
        <v>42979</v>
      </c>
      <c r="C793" s="139">
        <v>0.875</v>
      </c>
      <c r="D793" s="3">
        <v>0</v>
      </c>
    </row>
    <row r="794" spans="2:4">
      <c r="B794" s="144">
        <v>42979</v>
      </c>
      <c r="C794" s="139">
        <v>0.91666666666666696</v>
      </c>
      <c r="D794" s="3">
        <v>0</v>
      </c>
    </row>
    <row r="795" spans="2:4">
      <c r="B795" s="144">
        <v>42979</v>
      </c>
      <c r="C795" s="139">
        <v>0.95833333333333304</v>
      </c>
      <c r="D795" s="3">
        <v>0</v>
      </c>
    </row>
    <row r="796" spans="2:4">
      <c r="B796" s="144">
        <v>43009</v>
      </c>
      <c r="C796" s="139">
        <v>0</v>
      </c>
      <c r="D796" s="3">
        <v>0</v>
      </c>
    </row>
    <row r="797" spans="2:4">
      <c r="B797" s="144">
        <v>43009</v>
      </c>
      <c r="C797" s="139">
        <v>4.1666666666666664E-2</v>
      </c>
      <c r="D797" s="3">
        <v>0</v>
      </c>
    </row>
    <row r="798" spans="2:4">
      <c r="B798" s="144">
        <v>43009</v>
      </c>
      <c r="C798" s="139">
        <v>8.3333333333333301E-2</v>
      </c>
      <c r="D798" s="3">
        <v>0</v>
      </c>
    </row>
    <row r="799" spans="2:4">
      <c r="B799" s="144">
        <v>43009</v>
      </c>
      <c r="C799" s="139">
        <v>0.125</v>
      </c>
      <c r="D799" s="3">
        <v>0</v>
      </c>
    </row>
    <row r="800" spans="2:4">
      <c r="B800" s="144">
        <v>43009</v>
      </c>
      <c r="C800" s="139">
        <v>0.16666666666666699</v>
      </c>
      <c r="D800" s="3">
        <v>0</v>
      </c>
    </row>
    <row r="801" spans="2:4">
      <c r="B801" s="144">
        <v>43009</v>
      </c>
      <c r="C801" s="139">
        <v>0.20833333333333301</v>
      </c>
      <c r="D801" s="3">
        <v>0</v>
      </c>
    </row>
    <row r="802" spans="2:4">
      <c r="B802" s="144">
        <v>43009</v>
      </c>
      <c r="C802" s="139">
        <v>0.25</v>
      </c>
      <c r="D802" s="3">
        <v>83.1</v>
      </c>
    </row>
    <row r="803" spans="2:4">
      <c r="B803" s="144">
        <v>43009</v>
      </c>
      <c r="C803" s="139">
        <v>0.29166666666666702</v>
      </c>
      <c r="D803" s="3">
        <v>188.4</v>
      </c>
    </row>
    <row r="804" spans="2:4">
      <c r="B804" s="144">
        <v>43009</v>
      </c>
      <c r="C804" s="139">
        <v>0.33333333333333298</v>
      </c>
      <c r="D804" s="3">
        <v>243.2</v>
      </c>
    </row>
    <row r="805" spans="2:4">
      <c r="B805" s="144">
        <v>43009</v>
      </c>
      <c r="C805" s="139">
        <v>0.375</v>
      </c>
      <c r="D805" s="3">
        <v>259.8</v>
      </c>
    </row>
    <row r="806" spans="2:4">
      <c r="B806" s="144">
        <v>43009</v>
      </c>
      <c r="C806" s="139">
        <v>0.41666666666666702</v>
      </c>
      <c r="D806" s="3">
        <v>260.39999999999998</v>
      </c>
    </row>
    <row r="807" spans="2:4">
      <c r="B807" s="144">
        <v>43009</v>
      </c>
      <c r="C807" s="139">
        <v>0.45833333333333298</v>
      </c>
      <c r="D807" s="3">
        <v>258.5</v>
      </c>
    </row>
    <row r="808" spans="2:4">
      <c r="B808" s="144">
        <v>43009</v>
      </c>
      <c r="C808" s="139">
        <v>0.5</v>
      </c>
      <c r="D808" s="3">
        <v>236.6</v>
      </c>
    </row>
    <row r="809" spans="2:4">
      <c r="B809" s="144">
        <v>43009</v>
      </c>
      <c r="C809" s="139">
        <v>0.54166666666666696</v>
      </c>
      <c r="D809" s="3">
        <v>251.9</v>
      </c>
    </row>
    <row r="810" spans="2:4">
      <c r="B810" s="144">
        <v>43009</v>
      </c>
      <c r="C810" s="139">
        <v>0.58333333333333304</v>
      </c>
      <c r="D810" s="3">
        <v>245.3</v>
      </c>
    </row>
    <row r="811" spans="2:4">
      <c r="B811" s="144">
        <v>43009</v>
      </c>
      <c r="C811" s="139">
        <v>0.625</v>
      </c>
      <c r="D811" s="3">
        <v>211.3</v>
      </c>
    </row>
    <row r="812" spans="2:4">
      <c r="B812" s="144">
        <v>43009</v>
      </c>
      <c r="C812" s="139">
        <v>0.66666666666666696</v>
      </c>
      <c r="D812" s="3">
        <v>172.2</v>
      </c>
    </row>
    <row r="813" spans="2:4">
      <c r="B813" s="144">
        <v>43009</v>
      </c>
      <c r="C813" s="139">
        <v>0.70833333333333304</v>
      </c>
      <c r="D813" s="3">
        <v>58.3</v>
      </c>
    </row>
    <row r="814" spans="2:4">
      <c r="B814" s="144">
        <v>43009</v>
      </c>
      <c r="C814" s="139">
        <v>0.75</v>
      </c>
      <c r="D814" s="3">
        <v>0</v>
      </c>
    </row>
    <row r="815" spans="2:4">
      <c r="B815" s="144">
        <v>43009</v>
      </c>
      <c r="C815" s="139">
        <v>0.79166666666666696</v>
      </c>
      <c r="D815" s="3">
        <v>0</v>
      </c>
    </row>
    <row r="816" spans="2:4">
      <c r="B816" s="144">
        <v>43009</v>
      </c>
      <c r="C816" s="139">
        <v>0.83333333333333304</v>
      </c>
      <c r="D816" s="3">
        <v>0</v>
      </c>
    </row>
    <row r="817" spans="2:4">
      <c r="B817" s="144">
        <v>43009</v>
      </c>
      <c r="C817" s="139">
        <v>0.875</v>
      </c>
      <c r="D817" s="3">
        <v>0</v>
      </c>
    </row>
    <row r="818" spans="2:4">
      <c r="B818" s="144">
        <v>43009</v>
      </c>
      <c r="C818" s="139">
        <v>0.91666666666666696</v>
      </c>
      <c r="D818" s="3">
        <v>0</v>
      </c>
    </row>
    <row r="819" spans="2:4">
      <c r="B819" s="144">
        <v>43009</v>
      </c>
      <c r="C819" s="139">
        <v>0.95833333333333304</v>
      </c>
      <c r="D819" s="3">
        <v>0</v>
      </c>
    </row>
    <row r="820" spans="2:4">
      <c r="B820" s="144">
        <v>43040</v>
      </c>
      <c r="C820" s="139">
        <v>0</v>
      </c>
      <c r="D820" s="3">
        <v>0</v>
      </c>
    </row>
    <row r="821" spans="2:4">
      <c r="B821" s="144">
        <v>43040</v>
      </c>
      <c r="C821" s="139">
        <v>4.1666666666666664E-2</v>
      </c>
      <c r="D821" s="3">
        <v>0</v>
      </c>
    </row>
    <row r="822" spans="2:4">
      <c r="B822" s="144">
        <v>43040</v>
      </c>
      <c r="C822" s="139">
        <v>8.3333333333333301E-2</v>
      </c>
      <c r="D822" s="3">
        <v>0</v>
      </c>
    </row>
    <row r="823" spans="2:4">
      <c r="B823" s="144">
        <v>43040</v>
      </c>
      <c r="C823" s="139">
        <v>0.125</v>
      </c>
      <c r="D823" s="3">
        <v>0</v>
      </c>
    </row>
    <row r="824" spans="2:4">
      <c r="B824" s="144">
        <v>43040</v>
      </c>
      <c r="C824" s="139">
        <v>0.16666666666666699</v>
      </c>
      <c r="D824" s="3">
        <v>0</v>
      </c>
    </row>
    <row r="825" spans="2:4">
      <c r="B825" s="144">
        <v>43040</v>
      </c>
      <c r="C825" s="139">
        <v>0.20833333333333301</v>
      </c>
      <c r="D825" s="3">
        <v>0</v>
      </c>
    </row>
    <row r="826" spans="2:4">
      <c r="B826" s="144">
        <v>43040</v>
      </c>
      <c r="C826" s="139">
        <v>0.25</v>
      </c>
      <c r="D826" s="3">
        <v>106</v>
      </c>
    </row>
    <row r="827" spans="2:4">
      <c r="B827" s="144">
        <v>43040</v>
      </c>
      <c r="C827" s="139">
        <v>0.29166666666666702</v>
      </c>
      <c r="D827" s="3">
        <v>205.4</v>
      </c>
    </row>
    <row r="828" spans="2:4">
      <c r="B828" s="144">
        <v>43040</v>
      </c>
      <c r="C828" s="139">
        <v>0.33333333333333298</v>
      </c>
      <c r="D828" s="3">
        <v>248</v>
      </c>
    </row>
    <row r="829" spans="2:4">
      <c r="B829" s="144">
        <v>43040</v>
      </c>
      <c r="C829" s="139">
        <v>0.375</v>
      </c>
      <c r="D829" s="3">
        <v>257.3</v>
      </c>
    </row>
    <row r="830" spans="2:4">
      <c r="B830" s="144">
        <v>43040</v>
      </c>
      <c r="C830" s="139">
        <v>0.41666666666666702</v>
      </c>
      <c r="D830" s="3">
        <v>245.2</v>
      </c>
    </row>
    <row r="831" spans="2:4">
      <c r="B831" s="144">
        <v>43040</v>
      </c>
      <c r="C831" s="139">
        <v>0.45833333333333298</v>
      </c>
      <c r="D831" s="3">
        <v>241.9</v>
      </c>
    </row>
    <row r="832" spans="2:4">
      <c r="B832" s="144">
        <v>43040</v>
      </c>
      <c r="C832" s="139">
        <v>0.5</v>
      </c>
      <c r="D832" s="3">
        <v>235.8</v>
      </c>
    </row>
    <row r="833" spans="2:4">
      <c r="B833" s="144">
        <v>43040</v>
      </c>
      <c r="C833" s="139">
        <v>0.54166666666666696</v>
      </c>
      <c r="D833" s="3">
        <v>224.7</v>
      </c>
    </row>
    <row r="834" spans="2:4">
      <c r="B834" s="144">
        <v>43040</v>
      </c>
      <c r="C834" s="139">
        <v>0.58333333333333304</v>
      </c>
      <c r="D834" s="3">
        <v>215.2</v>
      </c>
    </row>
    <row r="835" spans="2:4">
      <c r="B835" s="144">
        <v>43040</v>
      </c>
      <c r="C835" s="139">
        <v>0.625</v>
      </c>
      <c r="D835" s="3">
        <v>200</v>
      </c>
    </row>
    <row r="836" spans="2:4">
      <c r="B836" s="144">
        <v>43040</v>
      </c>
      <c r="C836" s="139">
        <v>0.66666666666666696</v>
      </c>
      <c r="D836" s="3">
        <v>177.9</v>
      </c>
    </row>
    <row r="837" spans="2:4">
      <c r="B837" s="144">
        <v>43040</v>
      </c>
      <c r="C837" s="139">
        <v>0.70833333333333304</v>
      </c>
      <c r="D837" s="3">
        <v>68.599999999999994</v>
      </c>
    </row>
    <row r="838" spans="2:4">
      <c r="B838" s="144">
        <v>43040</v>
      </c>
      <c r="C838" s="139">
        <v>0.75</v>
      </c>
      <c r="D838" s="3">
        <v>0</v>
      </c>
    </row>
    <row r="839" spans="2:4">
      <c r="B839" s="144">
        <v>43040</v>
      </c>
      <c r="C839" s="139">
        <v>0.79166666666666696</v>
      </c>
      <c r="D839" s="3">
        <v>0</v>
      </c>
    </row>
    <row r="840" spans="2:4">
      <c r="B840" s="144">
        <v>43040</v>
      </c>
      <c r="C840" s="139">
        <v>0.83333333333333304</v>
      </c>
      <c r="D840" s="3">
        <v>0</v>
      </c>
    </row>
    <row r="841" spans="2:4">
      <c r="B841" s="144">
        <v>43040</v>
      </c>
      <c r="C841" s="139">
        <v>0.875</v>
      </c>
      <c r="D841" s="3">
        <v>0</v>
      </c>
    </row>
    <row r="842" spans="2:4">
      <c r="B842" s="144">
        <v>43040</v>
      </c>
      <c r="C842" s="139">
        <v>0.91666666666666696</v>
      </c>
      <c r="D842" s="3">
        <v>0</v>
      </c>
    </row>
    <row r="843" spans="2:4">
      <c r="B843" s="144">
        <v>43040</v>
      </c>
      <c r="C843" s="139">
        <v>0.95833333333333304</v>
      </c>
      <c r="D843" s="3">
        <v>0</v>
      </c>
    </row>
    <row r="844" spans="2:4">
      <c r="B844" s="144">
        <v>43070</v>
      </c>
      <c r="C844" s="139">
        <v>0</v>
      </c>
      <c r="D844" s="3">
        <v>0</v>
      </c>
    </row>
    <row r="845" spans="2:4">
      <c r="B845" s="144">
        <v>43070</v>
      </c>
      <c r="C845" s="139">
        <v>4.1666666666666664E-2</v>
      </c>
      <c r="D845" s="3">
        <v>0</v>
      </c>
    </row>
    <row r="846" spans="2:4">
      <c r="B846" s="144">
        <v>43070</v>
      </c>
      <c r="C846" s="139">
        <v>8.3333333333333301E-2</v>
      </c>
      <c r="D846" s="3">
        <v>0</v>
      </c>
    </row>
    <row r="847" spans="2:4">
      <c r="B847" s="144">
        <v>43070</v>
      </c>
      <c r="C847" s="139">
        <v>0.125</v>
      </c>
      <c r="D847" s="3">
        <v>0</v>
      </c>
    </row>
    <row r="848" spans="2:4">
      <c r="B848" s="144">
        <v>43070</v>
      </c>
      <c r="C848" s="139">
        <v>0.16666666666666699</v>
      </c>
      <c r="D848" s="3">
        <v>0</v>
      </c>
    </row>
    <row r="849" spans="2:4">
      <c r="B849" s="144">
        <v>43070</v>
      </c>
      <c r="C849" s="139">
        <v>0.20833333333333301</v>
      </c>
      <c r="D849" s="3">
        <v>0</v>
      </c>
    </row>
    <row r="850" spans="2:4">
      <c r="B850" s="144">
        <v>43070</v>
      </c>
      <c r="C850" s="139">
        <v>0.25</v>
      </c>
      <c r="D850" s="3">
        <v>63.7</v>
      </c>
    </row>
    <row r="851" spans="2:4">
      <c r="B851" s="144">
        <v>43070</v>
      </c>
      <c r="C851" s="139">
        <v>0.29166666666666702</v>
      </c>
      <c r="D851" s="3">
        <v>159.5</v>
      </c>
    </row>
    <row r="852" spans="2:4">
      <c r="B852" s="144">
        <v>43070</v>
      </c>
      <c r="C852" s="139">
        <v>0.33333333333333298</v>
      </c>
      <c r="D852" s="3">
        <v>207.1</v>
      </c>
    </row>
    <row r="853" spans="2:4">
      <c r="B853" s="144">
        <v>43070</v>
      </c>
      <c r="C853" s="139">
        <v>0.375</v>
      </c>
      <c r="D853" s="3">
        <v>241.5</v>
      </c>
    </row>
    <row r="854" spans="2:4">
      <c r="B854" s="144">
        <v>43070</v>
      </c>
      <c r="C854" s="139">
        <v>0.41666666666666702</v>
      </c>
      <c r="D854" s="3">
        <v>254.2</v>
      </c>
    </row>
    <row r="855" spans="2:4">
      <c r="B855" s="144">
        <v>43070</v>
      </c>
      <c r="C855" s="139">
        <v>0.45833333333333298</v>
      </c>
      <c r="D855" s="3">
        <v>255.9</v>
      </c>
    </row>
    <row r="856" spans="2:4">
      <c r="B856" s="144">
        <v>43070</v>
      </c>
      <c r="C856" s="139">
        <v>0.5</v>
      </c>
      <c r="D856" s="3">
        <v>251.3</v>
      </c>
    </row>
    <row r="857" spans="2:4">
      <c r="B857" s="144">
        <v>43070</v>
      </c>
      <c r="C857" s="139">
        <v>0.54166666666666696</v>
      </c>
      <c r="D857" s="3">
        <v>240</v>
      </c>
    </row>
    <row r="858" spans="2:4">
      <c r="B858" s="144">
        <v>43070</v>
      </c>
      <c r="C858" s="139">
        <v>0.58333333333333304</v>
      </c>
      <c r="D858" s="3">
        <v>228</v>
      </c>
    </row>
    <row r="859" spans="2:4">
      <c r="B859" s="144">
        <v>43070</v>
      </c>
      <c r="C859" s="139">
        <v>0.625</v>
      </c>
      <c r="D859" s="3">
        <v>201.6</v>
      </c>
    </row>
    <row r="860" spans="2:4">
      <c r="B860" s="144">
        <v>43070</v>
      </c>
      <c r="C860" s="139">
        <v>0.66666666666666696</v>
      </c>
      <c r="D860" s="3">
        <v>170.7</v>
      </c>
    </row>
    <row r="861" spans="2:4">
      <c r="B861" s="144">
        <v>43070</v>
      </c>
      <c r="C861" s="139">
        <v>0.70833333333333304</v>
      </c>
      <c r="D861" s="3">
        <v>93.6</v>
      </c>
    </row>
    <row r="862" spans="2:4">
      <c r="B862" s="144">
        <v>43070</v>
      </c>
      <c r="C862" s="139">
        <v>0.75</v>
      </c>
      <c r="D862" s="3">
        <v>0</v>
      </c>
    </row>
    <row r="863" spans="2:4">
      <c r="B863" s="144">
        <v>43070</v>
      </c>
      <c r="C863" s="139">
        <v>0.79166666666666696</v>
      </c>
      <c r="D863" s="3">
        <v>0</v>
      </c>
    </row>
    <row r="864" spans="2:4">
      <c r="B864" s="144">
        <v>43070</v>
      </c>
      <c r="C864" s="139">
        <v>0.83333333333333304</v>
      </c>
      <c r="D864" s="3">
        <v>0</v>
      </c>
    </row>
    <row r="865" spans="2:4">
      <c r="B865" s="144">
        <v>43070</v>
      </c>
      <c r="C865" s="139">
        <v>0.875</v>
      </c>
      <c r="D865" s="3">
        <v>0</v>
      </c>
    </row>
    <row r="866" spans="2:4">
      <c r="B866" s="144">
        <v>43070</v>
      </c>
      <c r="C866" s="139">
        <v>0.91666666666666696</v>
      </c>
      <c r="D866" s="3">
        <v>0</v>
      </c>
    </row>
    <row r="867" spans="2:4">
      <c r="B867" s="144">
        <v>43070</v>
      </c>
      <c r="C867" s="139">
        <v>0.95833333333333304</v>
      </c>
      <c r="D867" s="3">
        <v>0</v>
      </c>
    </row>
    <row r="868" spans="2:4">
      <c r="B868" s="144">
        <v>43101</v>
      </c>
      <c r="C868" s="139">
        <v>0</v>
      </c>
      <c r="D868" s="3">
        <v>0</v>
      </c>
    </row>
    <row r="869" spans="2:4">
      <c r="B869" s="144">
        <v>43101</v>
      </c>
      <c r="C869" s="139">
        <v>4.1666666666666664E-2</v>
      </c>
      <c r="D869" s="3">
        <v>0</v>
      </c>
    </row>
    <row r="870" spans="2:4">
      <c r="B870" s="144">
        <v>43101</v>
      </c>
      <c r="C870" s="139">
        <v>8.3333333333333301E-2</v>
      </c>
      <c r="D870" s="3">
        <v>0</v>
      </c>
    </row>
    <row r="871" spans="2:4">
      <c r="B871" s="144">
        <v>43101</v>
      </c>
      <c r="C871" s="139">
        <v>0.125</v>
      </c>
      <c r="D871" s="3">
        <v>0</v>
      </c>
    </row>
    <row r="872" spans="2:4">
      <c r="B872" s="144">
        <v>43101</v>
      </c>
      <c r="C872" s="139">
        <v>0.16666666666666699</v>
      </c>
      <c r="D872" s="3">
        <v>0</v>
      </c>
    </row>
    <row r="873" spans="2:4">
      <c r="B873" s="144">
        <v>43101</v>
      </c>
      <c r="C873" s="139">
        <v>0.20833333333333301</v>
      </c>
      <c r="D873" s="3">
        <v>0</v>
      </c>
    </row>
    <row r="874" spans="2:4">
      <c r="B874" s="144">
        <v>43101</v>
      </c>
      <c r="C874" s="139">
        <v>0.25</v>
      </c>
      <c r="D874" s="3">
        <v>21.4</v>
      </c>
    </row>
    <row r="875" spans="2:4">
      <c r="B875" s="144">
        <v>43101</v>
      </c>
      <c r="C875" s="139">
        <v>0.29166666666666702</v>
      </c>
      <c r="D875" s="3">
        <v>131.80000000000001</v>
      </c>
    </row>
    <row r="876" spans="2:4">
      <c r="B876" s="144">
        <v>43101</v>
      </c>
      <c r="C876" s="139">
        <v>0.33333333333333298</v>
      </c>
      <c r="D876" s="3">
        <v>190.4</v>
      </c>
    </row>
    <row r="877" spans="2:4">
      <c r="B877" s="144">
        <v>43101</v>
      </c>
      <c r="C877" s="139">
        <v>0.375</v>
      </c>
      <c r="D877" s="3">
        <v>229.3</v>
      </c>
    </row>
    <row r="878" spans="2:4">
      <c r="B878" s="144">
        <v>43101</v>
      </c>
      <c r="C878" s="139">
        <v>0.41666666666666702</v>
      </c>
      <c r="D878" s="3">
        <v>243.8</v>
      </c>
    </row>
    <row r="879" spans="2:4">
      <c r="B879" s="144">
        <v>43101</v>
      </c>
      <c r="C879" s="139">
        <v>0.45833333333333298</v>
      </c>
      <c r="D879" s="3">
        <v>236.3</v>
      </c>
    </row>
    <row r="880" spans="2:4">
      <c r="B880" s="144">
        <v>43101</v>
      </c>
      <c r="C880" s="139">
        <v>0.5</v>
      </c>
      <c r="D880" s="3">
        <v>246.9</v>
      </c>
    </row>
    <row r="881" spans="2:4">
      <c r="B881" s="144">
        <v>43101</v>
      </c>
      <c r="C881" s="139">
        <v>0.54166666666666696</v>
      </c>
      <c r="D881" s="3">
        <v>242</v>
      </c>
    </row>
    <row r="882" spans="2:4">
      <c r="B882" s="144">
        <v>43101</v>
      </c>
      <c r="C882" s="139">
        <v>0.58333333333333304</v>
      </c>
      <c r="D882" s="3">
        <v>240.5</v>
      </c>
    </row>
    <row r="883" spans="2:4">
      <c r="B883" s="144">
        <v>43101</v>
      </c>
      <c r="C883" s="139">
        <v>0.625</v>
      </c>
      <c r="D883" s="3">
        <v>210.9</v>
      </c>
    </row>
    <row r="884" spans="2:4">
      <c r="B884" s="144">
        <v>43101</v>
      </c>
      <c r="C884" s="139">
        <v>0.66666666666666696</v>
      </c>
      <c r="D884" s="3">
        <v>173.1</v>
      </c>
    </row>
    <row r="885" spans="2:4">
      <c r="B885" s="144">
        <v>43101</v>
      </c>
      <c r="C885" s="139">
        <v>0.70833333333333304</v>
      </c>
      <c r="D885" s="3">
        <v>119.2</v>
      </c>
    </row>
    <row r="886" spans="2:4">
      <c r="B886" s="144">
        <v>43101</v>
      </c>
      <c r="C886" s="139">
        <v>0.75</v>
      </c>
      <c r="D886" s="3">
        <v>0</v>
      </c>
    </row>
    <row r="887" spans="2:4">
      <c r="B887" s="144">
        <v>43101</v>
      </c>
      <c r="C887" s="139">
        <v>0.79166666666666696</v>
      </c>
      <c r="D887" s="3">
        <v>0</v>
      </c>
    </row>
    <row r="888" spans="2:4">
      <c r="B888" s="144">
        <v>43101</v>
      </c>
      <c r="C888" s="139">
        <v>0.83333333333333304</v>
      </c>
      <c r="D888" s="3">
        <v>0</v>
      </c>
    </row>
    <row r="889" spans="2:4">
      <c r="B889" s="144">
        <v>43101</v>
      </c>
      <c r="C889" s="139">
        <v>0.875</v>
      </c>
      <c r="D889" s="3">
        <v>0</v>
      </c>
    </row>
    <row r="890" spans="2:4">
      <c r="B890" s="144">
        <v>43101</v>
      </c>
      <c r="C890" s="139">
        <v>0.91666666666666696</v>
      </c>
      <c r="D890" s="3">
        <v>0</v>
      </c>
    </row>
    <row r="891" spans="2:4">
      <c r="B891" s="144">
        <v>43101</v>
      </c>
      <c r="C891" s="139">
        <v>0.95833333333333304</v>
      </c>
      <c r="D891" s="3">
        <v>0</v>
      </c>
    </row>
    <row r="892" spans="2:4">
      <c r="B892" s="144">
        <v>43132</v>
      </c>
      <c r="C892" s="139">
        <v>0</v>
      </c>
      <c r="D892" s="3">
        <v>0</v>
      </c>
    </row>
    <row r="893" spans="2:4">
      <c r="B893" s="144">
        <v>43132</v>
      </c>
      <c r="C893" s="139">
        <v>4.1666666666666664E-2</v>
      </c>
      <c r="D893" s="3">
        <v>0</v>
      </c>
    </row>
    <row r="894" spans="2:4">
      <c r="B894" s="144">
        <v>43132</v>
      </c>
      <c r="C894" s="139">
        <v>8.3333333333333301E-2</v>
      </c>
      <c r="D894" s="3">
        <v>0</v>
      </c>
    </row>
    <row r="895" spans="2:4">
      <c r="B895" s="144">
        <v>43132</v>
      </c>
      <c r="C895" s="139">
        <v>0.125</v>
      </c>
      <c r="D895" s="3">
        <v>0</v>
      </c>
    </row>
    <row r="896" spans="2:4">
      <c r="B896" s="144">
        <v>43132</v>
      </c>
      <c r="C896" s="139">
        <v>0.16666666666666699</v>
      </c>
      <c r="D896" s="3">
        <v>0</v>
      </c>
    </row>
    <row r="897" spans="2:4">
      <c r="B897" s="144">
        <v>43132</v>
      </c>
      <c r="C897" s="139">
        <v>0.20833333333333301</v>
      </c>
      <c r="D897" s="3">
        <v>0</v>
      </c>
    </row>
    <row r="898" spans="2:4">
      <c r="B898" s="144">
        <v>43132</v>
      </c>
      <c r="C898" s="139">
        <v>0.25</v>
      </c>
      <c r="D898" s="3">
        <v>23.1</v>
      </c>
    </row>
    <row r="899" spans="2:4">
      <c r="B899" s="144">
        <v>43132</v>
      </c>
      <c r="C899" s="139">
        <v>0.29166666666666702</v>
      </c>
      <c r="D899" s="3">
        <v>157.69999999999999</v>
      </c>
    </row>
    <row r="900" spans="2:4">
      <c r="B900" s="144">
        <v>43132</v>
      </c>
      <c r="C900" s="139">
        <v>0.33333333333333298</v>
      </c>
      <c r="D900" s="3">
        <v>227.1</v>
      </c>
    </row>
    <row r="901" spans="2:4">
      <c r="B901" s="144">
        <v>43132</v>
      </c>
      <c r="C901" s="139">
        <v>0.375</v>
      </c>
      <c r="D901" s="3">
        <v>270.5</v>
      </c>
    </row>
    <row r="902" spans="2:4">
      <c r="B902" s="144">
        <v>43132</v>
      </c>
      <c r="C902" s="139">
        <v>0.41666666666666702</v>
      </c>
      <c r="D902" s="3">
        <v>270.60000000000002</v>
      </c>
    </row>
    <row r="903" spans="2:4">
      <c r="B903" s="144">
        <v>43132</v>
      </c>
      <c r="C903" s="139">
        <v>0.45833333333333298</v>
      </c>
      <c r="D903" s="3">
        <v>271.3</v>
      </c>
    </row>
    <row r="904" spans="2:4">
      <c r="B904" s="144">
        <v>43132</v>
      </c>
      <c r="C904" s="139">
        <v>0.5</v>
      </c>
      <c r="D904" s="3">
        <v>252.6</v>
      </c>
    </row>
    <row r="905" spans="2:4">
      <c r="B905" s="144">
        <v>43132</v>
      </c>
      <c r="C905" s="139">
        <v>0.54166666666666696</v>
      </c>
      <c r="D905" s="3">
        <v>254.1</v>
      </c>
    </row>
    <row r="906" spans="2:4">
      <c r="B906" s="144">
        <v>43132</v>
      </c>
      <c r="C906" s="139">
        <v>0.58333333333333304</v>
      </c>
      <c r="D906" s="3">
        <v>283</v>
      </c>
    </row>
    <row r="907" spans="2:4">
      <c r="B907" s="144">
        <v>43132</v>
      </c>
      <c r="C907" s="139">
        <v>0.625</v>
      </c>
      <c r="D907" s="3">
        <v>269.8</v>
      </c>
    </row>
    <row r="908" spans="2:4">
      <c r="B908" s="144">
        <v>43132</v>
      </c>
      <c r="C908" s="139">
        <v>0.66666666666666696</v>
      </c>
      <c r="D908" s="3">
        <v>212.4</v>
      </c>
    </row>
    <row r="909" spans="2:4">
      <c r="B909" s="144">
        <v>43132</v>
      </c>
      <c r="C909" s="139">
        <v>0.70833333333333304</v>
      </c>
      <c r="D909" s="3">
        <v>148.5</v>
      </c>
    </row>
    <row r="910" spans="2:4">
      <c r="B910" s="144">
        <v>43132</v>
      </c>
      <c r="C910" s="139">
        <v>0.75</v>
      </c>
      <c r="D910" s="3">
        <v>0</v>
      </c>
    </row>
    <row r="911" spans="2:4">
      <c r="B911" s="144">
        <v>43132</v>
      </c>
      <c r="C911" s="139">
        <v>0.79166666666666696</v>
      </c>
      <c r="D911" s="3">
        <v>0</v>
      </c>
    </row>
    <row r="912" spans="2:4">
      <c r="B912" s="144">
        <v>43132</v>
      </c>
      <c r="C912" s="139">
        <v>0.83333333333333304</v>
      </c>
      <c r="D912" s="3">
        <v>0</v>
      </c>
    </row>
    <row r="913" spans="2:4">
      <c r="B913" s="144">
        <v>43132</v>
      </c>
      <c r="C913" s="139">
        <v>0.875</v>
      </c>
      <c r="D913" s="3">
        <v>0</v>
      </c>
    </row>
    <row r="914" spans="2:4">
      <c r="B914" s="144">
        <v>43132</v>
      </c>
      <c r="C914" s="139">
        <v>0.91666666666666696</v>
      </c>
      <c r="D914" s="3">
        <v>0</v>
      </c>
    </row>
    <row r="915" spans="2:4">
      <c r="B915" s="144">
        <v>43132</v>
      </c>
      <c r="C915" s="139">
        <v>0.95833333333333304</v>
      </c>
      <c r="D915" s="3">
        <v>0</v>
      </c>
    </row>
    <row r="916" spans="2:4">
      <c r="B916" s="144">
        <v>43160</v>
      </c>
      <c r="C916" s="139">
        <v>0</v>
      </c>
      <c r="D916" s="3">
        <v>0</v>
      </c>
    </row>
    <row r="917" spans="2:4">
      <c r="B917" s="144">
        <v>43160</v>
      </c>
      <c r="C917" s="139">
        <v>4.1666666666666664E-2</v>
      </c>
      <c r="D917" s="3">
        <v>0</v>
      </c>
    </row>
    <row r="918" spans="2:4">
      <c r="B918" s="144">
        <v>43160</v>
      </c>
      <c r="C918" s="139">
        <v>8.3333333333333301E-2</v>
      </c>
      <c r="D918" s="3">
        <v>0</v>
      </c>
    </row>
    <row r="919" spans="2:4">
      <c r="B919" s="144">
        <v>43160</v>
      </c>
      <c r="C919" s="139">
        <v>0.125</v>
      </c>
      <c r="D919" s="3">
        <v>0</v>
      </c>
    </row>
    <row r="920" spans="2:4">
      <c r="B920" s="144">
        <v>43160</v>
      </c>
      <c r="C920" s="139">
        <v>0.16666666666666699</v>
      </c>
      <c r="D920" s="3">
        <v>0</v>
      </c>
    </row>
    <row r="921" spans="2:4">
      <c r="B921" s="144">
        <v>43160</v>
      </c>
      <c r="C921" s="139">
        <v>0.20833333333333301</v>
      </c>
      <c r="D921" s="3">
        <v>0</v>
      </c>
    </row>
    <row r="922" spans="2:4">
      <c r="B922" s="144">
        <v>43160</v>
      </c>
      <c r="C922" s="139">
        <v>0.25</v>
      </c>
      <c r="D922" s="3">
        <v>29</v>
      </c>
    </row>
    <row r="923" spans="2:4">
      <c r="B923" s="144">
        <v>43160</v>
      </c>
      <c r="C923" s="139">
        <v>0.29166666666666702</v>
      </c>
      <c r="D923" s="3">
        <v>175.7</v>
      </c>
    </row>
    <row r="924" spans="2:4">
      <c r="B924" s="144">
        <v>43160</v>
      </c>
      <c r="C924" s="139">
        <v>0.33333333333333298</v>
      </c>
      <c r="D924" s="3">
        <v>249.4</v>
      </c>
    </row>
    <row r="925" spans="2:4">
      <c r="B925" s="144">
        <v>43160</v>
      </c>
      <c r="C925" s="139">
        <v>0.375</v>
      </c>
      <c r="D925" s="3">
        <v>273.89999999999998</v>
      </c>
    </row>
    <row r="926" spans="2:4">
      <c r="B926" s="144">
        <v>43160</v>
      </c>
      <c r="C926" s="139">
        <v>0.41666666666666702</v>
      </c>
      <c r="D926" s="3">
        <v>260.8</v>
      </c>
    </row>
    <row r="927" spans="2:4">
      <c r="B927" s="144">
        <v>43160</v>
      </c>
      <c r="C927" s="139">
        <v>0.45833333333333298</v>
      </c>
      <c r="D927" s="3">
        <v>266.10000000000002</v>
      </c>
    </row>
    <row r="928" spans="2:4">
      <c r="B928" s="144">
        <v>43160</v>
      </c>
      <c r="C928" s="139">
        <v>0.5</v>
      </c>
      <c r="D928" s="3">
        <v>250</v>
      </c>
    </row>
    <row r="929" spans="2:4">
      <c r="B929" s="144">
        <v>43160</v>
      </c>
      <c r="C929" s="139">
        <v>0.54166666666666696</v>
      </c>
      <c r="D929" s="3">
        <v>288.8</v>
      </c>
    </row>
    <row r="930" spans="2:4">
      <c r="B930" s="144">
        <v>43160</v>
      </c>
      <c r="C930" s="139">
        <v>0.58333333333333304</v>
      </c>
      <c r="D930" s="3">
        <v>285</v>
      </c>
    </row>
    <row r="931" spans="2:4">
      <c r="B931" s="144">
        <v>43160</v>
      </c>
      <c r="C931" s="139">
        <v>0.625</v>
      </c>
      <c r="D931" s="3">
        <v>274.8</v>
      </c>
    </row>
    <row r="932" spans="2:4">
      <c r="B932" s="144">
        <v>43160</v>
      </c>
      <c r="C932" s="139">
        <v>0.66666666666666696</v>
      </c>
      <c r="D932" s="3">
        <v>227.2</v>
      </c>
    </row>
    <row r="933" spans="2:4">
      <c r="B933" s="144">
        <v>43160</v>
      </c>
      <c r="C933" s="139">
        <v>0.70833333333333304</v>
      </c>
      <c r="D933" s="3">
        <v>130.19999999999999</v>
      </c>
    </row>
    <row r="934" spans="2:4">
      <c r="B934" s="144">
        <v>43160</v>
      </c>
      <c r="C934" s="139">
        <v>0.75</v>
      </c>
      <c r="D934" s="3">
        <v>0</v>
      </c>
    </row>
    <row r="935" spans="2:4">
      <c r="B935" s="144">
        <v>43160</v>
      </c>
      <c r="C935" s="139">
        <v>0.79166666666666696</v>
      </c>
      <c r="D935" s="3">
        <v>0</v>
      </c>
    </row>
    <row r="936" spans="2:4">
      <c r="B936" s="144">
        <v>43160</v>
      </c>
      <c r="C936" s="139">
        <v>0.83333333333333304</v>
      </c>
      <c r="D936" s="3">
        <v>0</v>
      </c>
    </row>
    <row r="937" spans="2:4">
      <c r="B937" s="144">
        <v>43160</v>
      </c>
      <c r="C937" s="139">
        <v>0.875</v>
      </c>
      <c r="D937" s="3">
        <v>0</v>
      </c>
    </row>
    <row r="938" spans="2:4">
      <c r="B938" s="144">
        <v>43160</v>
      </c>
      <c r="C938" s="139">
        <v>0.91666666666666696</v>
      </c>
      <c r="D938" s="3">
        <v>0</v>
      </c>
    </row>
    <row r="939" spans="2:4">
      <c r="B939" s="144">
        <v>43160</v>
      </c>
      <c r="C939" s="139">
        <v>0.95833333333333304</v>
      </c>
      <c r="D939" s="3">
        <v>0</v>
      </c>
    </row>
    <row r="940" spans="2:4">
      <c r="B940" s="144">
        <v>43191</v>
      </c>
      <c r="C940" s="139">
        <v>0</v>
      </c>
      <c r="D940" s="3">
        <v>0</v>
      </c>
    </row>
    <row r="941" spans="2:4">
      <c r="B941" s="144">
        <v>43191</v>
      </c>
      <c r="C941" s="139">
        <v>4.1666666666666664E-2</v>
      </c>
      <c r="D941" s="3">
        <v>0</v>
      </c>
    </row>
    <row r="942" spans="2:4">
      <c r="B942" s="144">
        <v>43191</v>
      </c>
      <c r="C942" s="139">
        <v>8.3333333333333301E-2</v>
      </c>
      <c r="D942" s="3">
        <v>0</v>
      </c>
    </row>
    <row r="943" spans="2:4">
      <c r="B943" s="144">
        <v>43191</v>
      </c>
      <c r="C943" s="139">
        <v>0.125</v>
      </c>
      <c r="D943" s="3">
        <v>0</v>
      </c>
    </row>
    <row r="944" spans="2:4">
      <c r="B944" s="144">
        <v>43191</v>
      </c>
      <c r="C944" s="139">
        <v>0.16666666666666699</v>
      </c>
      <c r="D944" s="3">
        <v>0</v>
      </c>
    </row>
    <row r="945" spans="2:4">
      <c r="B945" s="144">
        <v>43191</v>
      </c>
      <c r="C945" s="139">
        <v>0.20833333333333301</v>
      </c>
      <c r="D945" s="3">
        <v>0</v>
      </c>
    </row>
    <row r="946" spans="2:4">
      <c r="B946" s="144">
        <v>43191</v>
      </c>
      <c r="C946" s="139">
        <v>0.25</v>
      </c>
      <c r="D946" s="3">
        <v>55.5</v>
      </c>
    </row>
    <row r="947" spans="2:4">
      <c r="B947" s="144">
        <v>43191</v>
      </c>
      <c r="C947" s="139">
        <v>0.29166666666666702</v>
      </c>
      <c r="D947" s="3">
        <v>209.1</v>
      </c>
    </row>
    <row r="948" spans="2:4">
      <c r="B948" s="144">
        <v>43191</v>
      </c>
      <c r="C948" s="139">
        <v>0.33333333333333298</v>
      </c>
      <c r="D948" s="3">
        <v>278.60000000000002</v>
      </c>
    </row>
    <row r="949" spans="2:4">
      <c r="B949" s="144">
        <v>43191</v>
      </c>
      <c r="C949" s="139">
        <v>0.375</v>
      </c>
      <c r="D949" s="3">
        <v>296.10000000000002</v>
      </c>
    </row>
    <row r="950" spans="2:4">
      <c r="B950" s="144">
        <v>43191</v>
      </c>
      <c r="C950" s="139">
        <v>0.41666666666666702</v>
      </c>
      <c r="D950" s="3">
        <v>296.8</v>
      </c>
    </row>
    <row r="951" spans="2:4">
      <c r="B951" s="144">
        <v>43191</v>
      </c>
      <c r="C951" s="139">
        <v>0.45833333333333298</v>
      </c>
      <c r="D951" s="3">
        <v>313</v>
      </c>
    </row>
    <row r="952" spans="2:4">
      <c r="B952" s="144">
        <v>43191</v>
      </c>
      <c r="C952" s="139">
        <v>0.5</v>
      </c>
      <c r="D952" s="3">
        <v>275.5</v>
      </c>
    </row>
    <row r="953" spans="2:4">
      <c r="B953" s="144">
        <v>43191</v>
      </c>
      <c r="C953" s="139">
        <v>0.54166666666666696</v>
      </c>
      <c r="D953" s="3">
        <v>259.10000000000002</v>
      </c>
    </row>
    <row r="954" spans="2:4">
      <c r="B954" s="144">
        <v>43191</v>
      </c>
      <c r="C954" s="139">
        <v>0.58333333333333304</v>
      </c>
      <c r="D954" s="3">
        <v>266.7</v>
      </c>
    </row>
    <row r="955" spans="2:4">
      <c r="B955" s="144">
        <v>43191</v>
      </c>
      <c r="C955" s="139">
        <v>0.625</v>
      </c>
      <c r="D955" s="3">
        <v>250</v>
      </c>
    </row>
    <row r="956" spans="2:4">
      <c r="B956" s="144">
        <v>43191</v>
      </c>
      <c r="C956" s="139">
        <v>0.66666666666666696</v>
      </c>
      <c r="D956" s="3">
        <v>218.5</v>
      </c>
    </row>
    <row r="957" spans="2:4">
      <c r="B957" s="144">
        <v>43191</v>
      </c>
      <c r="C957" s="139">
        <v>0.70833333333333304</v>
      </c>
      <c r="D957" s="3">
        <v>88.1</v>
      </c>
    </row>
    <row r="958" spans="2:4">
      <c r="B958" s="144">
        <v>43191</v>
      </c>
      <c r="C958" s="139">
        <v>0.75</v>
      </c>
      <c r="D958" s="3">
        <v>0</v>
      </c>
    </row>
    <row r="959" spans="2:4">
      <c r="B959" s="144">
        <v>43191</v>
      </c>
      <c r="C959" s="139">
        <v>0.79166666666666696</v>
      </c>
      <c r="D959" s="3">
        <v>0</v>
      </c>
    </row>
    <row r="960" spans="2:4">
      <c r="B960" s="144">
        <v>43191</v>
      </c>
      <c r="C960" s="139">
        <v>0.83333333333333304</v>
      </c>
      <c r="D960" s="3">
        <v>0</v>
      </c>
    </row>
    <row r="961" spans="2:4">
      <c r="B961" s="144">
        <v>43191</v>
      </c>
      <c r="C961" s="139">
        <v>0.875</v>
      </c>
      <c r="D961" s="3">
        <v>0</v>
      </c>
    </row>
    <row r="962" spans="2:4">
      <c r="B962" s="144">
        <v>43191</v>
      </c>
      <c r="C962" s="139">
        <v>0.91666666666666696</v>
      </c>
      <c r="D962" s="3">
        <v>0</v>
      </c>
    </row>
    <row r="963" spans="2:4">
      <c r="B963" s="144">
        <v>43191</v>
      </c>
      <c r="C963" s="139">
        <v>0.95833333333333304</v>
      </c>
      <c r="D963" s="3">
        <v>0</v>
      </c>
    </row>
    <row r="964" spans="2:4">
      <c r="B964" s="144">
        <v>43221</v>
      </c>
      <c r="C964" s="139">
        <v>0</v>
      </c>
      <c r="D964" s="3">
        <v>0</v>
      </c>
    </row>
    <row r="965" spans="2:4">
      <c r="B965" s="144">
        <v>43221</v>
      </c>
      <c r="C965" s="139">
        <v>4.1666666666666664E-2</v>
      </c>
      <c r="D965" s="3">
        <v>0</v>
      </c>
    </row>
    <row r="966" spans="2:4">
      <c r="B966" s="144">
        <v>43221</v>
      </c>
      <c r="C966" s="139">
        <v>8.3333333333333301E-2</v>
      </c>
      <c r="D966" s="3">
        <v>0</v>
      </c>
    </row>
    <row r="967" spans="2:4">
      <c r="B967" s="144">
        <v>43221</v>
      </c>
      <c r="C967" s="139">
        <v>0.125</v>
      </c>
      <c r="D967" s="3">
        <v>0</v>
      </c>
    </row>
    <row r="968" spans="2:4">
      <c r="B968" s="144">
        <v>43221</v>
      </c>
      <c r="C968" s="139">
        <v>0.16666666666666699</v>
      </c>
      <c r="D968" s="3">
        <v>0</v>
      </c>
    </row>
    <row r="969" spans="2:4">
      <c r="B969" s="144">
        <v>43221</v>
      </c>
      <c r="C969" s="139">
        <v>0.20833333333333301</v>
      </c>
      <c r="D969" s="3">
        <v>0</v>
      </c>
    </row>
    <row r="970" spans="2:4">
      <c r="B970" s="144">
        <v>43221</v>
      </c>
      <c r="C970" s="139">
        <v>0.25</v>
      </c>
      <c r="D970" s="3">
        <v>83.6</v>
      </c>
    </row>
    <row r="971" spans="2:4">
      <c r="B971" s="144">
        <v>43221</v>
      </c>
      <c r="C971" s="139">
        <v>0.29166666666666702</v>
      </c>
      <c r="D971" s="3">
        <v>224.3</v>
      </c>
    </row>
    <row r="972" spans="2:4">
      <c r="B972" s="144">
        <v>43221</v>
      </c>
      <c r="C972" s="139">
        <v>0.33333333333333298</v>
      </c>
      <c r="D972" s="3">
        <v>283.3</v>
      </c>
    </row>
    <row r="973" spans="2:4">
      <c r="B973" s="144">
        <v>43221</v>
      </c>
      <c r="C973" s="139">
        <v>0.375</v>
      </c>
      <c r="D973" s="3">
        <v>289.39999999999998</v>
      </c>
    </row>
    <row r="974" spans="2:4">
      <c r="B974" s="144">
        <v>43221</v>
      </c>
      <c r="C974" s="139">
        <v>0.41666666666666702</v>
      </c>
      <c r="D974" s="3">
        <v>282.8</v>
      </c>
    </row>
    <row r="975" spans="2:4">
      <c r="B975" s="144">
        <v>43221</v>
      </c>
      <c r="C975" s="139">
        <v>0.45833333333333298</v>
      </c>
      <c r="D975" s="3">
        <v>286.60000000000002</v>
      </c>
    </row>
    <row r="976" spans="2:4">
      <c r="B976" s="144">
        <v>43221</v>
      </c>
      <c r="C976" s="139">
        <v>0.5</v>
      </c>
      <c r="D976" s="3">
        <v>270.5</v>
      </c>
    </row>
    <row r="977" spans="2:4">
      <c r="B977" s="144">
        <v>43221</v>
      </c>
      <c r="C977" s="139">
        <v>0.54166666666666696</v>
      </c>
      <c r="D977" s="3">
        <v>266.10000000000002</v>
      </c>
    </row>
    <row r="978" spans="2:4">
      <c r="B978" s="144">
        <v>43221</v>
      </c>
      <c r="C978" s="139">
        <v>0.58333333333333304</v>
      </c>
      <c r="D978" s="3">
        <v>246</v>
      </c>
    </row>
    <row r="979" spans="2:4">
      <c r="B979" s="144">
        <v>43221</v>
      </c>
      <c r="C979" s="139">
        <v>0.625</v>
      </c>
      <c r="D979" s="3">
        <v>224</v>
      </c>
    </row>
    <row r="980" spans="2:4">
      <c r="B980" s="144">
        <v>43221</v>
      </c>
      <c r="C980" s="139">
        <v>0.66666666666666696</v>
      </c>
      <c r="D980" s="3">
        <v>205.8</v>
      </c>
    </row>
    <row r="981" spans="2:4">
      <c r="B981" s="144">
        <v>43221</v>
      </c>
      <c r="C981" s="139">
        <v>0.70833333333333304</v>
      </c>
      <c r="D981" s="3">
        <v>89.4</v>
      </c>
    </row>
    <row r="982" spans="2:4">
      <c r="B982" s="144">
        <v>43221</v>
      </c>
      <c r="C982" s="139">
        <v>0.75</v>
      </c>
      <c r="D982" s="3">
        <v>0</v>
      </c>
    </row>
    <row r="983" spans="2:4">
      <c r="B983" s="144">
        <v>43221</v>
      </c>
      <c r="C983" s="139">
        <v>0.79166666666666696</v>
      </c>
      <c r="D983" s="3">
        <v>0</v>
      </c>
    </row>
    <row r="984" spans="2:4">
      <c r="B984" s="144">
        <v>43221</v>
      </c>
      <c r="C984" s="139">
        <v>0.83333333333333304</v>
      </c>
      <c r="D984" s="3">
        <v>0</v>
      </c>
    </row>
    <row r="985" spans="2:4">
      <c r="B985" s="144">
        <v>43221</v>
      </c>
      <c r="C985" s="139">
        <v>0.875</v>
      </c>
      <c r="D985" s="3">
        <v>0</v>
      </c>
    </row>
    <row r="986" spans="2:4">
      <c r="B986" s="144">
        <v>43221</v>
      </c>
      <c r="C986" s="139">
        <v>0.91666666666666696</v>
      </c>
      <c r="D986" s="3">
        <v>0</v>
      </c>
    </row>
    <row r="987" spans="2:4">
      <c r="B987" s="144">
        <v>43221</v>
      </c>
      <c r="C987" s="139">
        <v>0.95833333333333304</v>
      </c>
      <c r="D987" s="3">
        <v>0</v>
      </c>
    </row>
    <row r="988" spans="2:4">
      <c r="B988" s="144">
        <v>43252</v>
      </c>
      <c r="C988" s="139">
        <v>0</v>
      </c>
      <c r="D988" s="3">
        <v>0</v>
      </c>
    </row>
    <row r="989" spans="2:4">
      <c r="B989" s="144">
        <v>43252</v>
      </c>
      <c r="C989" s="139">
        <v>4.1666666666666664E-2</v>
      </c>
      <c r="D989" s="3">
        <v>0</v>
      </c>
    </row>
    <row r="990" spans="2:4">
      <c r="B990" s="144">
        <v>43252</v>
      </c>
      <c r="C990" s="139">
        <v>8.3333333333333301E-2</v>
      </c>
      <c r="D990" s="3">
        <v>0</v>
      </c>
    </row>
    <row r="991" spans="2:4">
      <c r="B991" s="144">
        <v>43252</v>
      </c>
      <c r="C991" s="139">
        <v>0.125</v>
      </c>
      <c r="D991" s="3">
        <v>0</v>
      </c>
    </row>
    <row r="992" spans="2:4">
      <c r="B992" s="144">
        <v>43252</v>
      </c>
      <c r="C992" s="139">
        <v>0.16666666666666699</v>
      </c>
      <c r="D992" s="3">
        <v>0</v>
      </c>
    </row>
    <row r="993" spans="2:4">
      <c r="B993" s="144">
        <v>43252</v>
      </c>
      <c r="C993" s="139">
        <v>0.20833333333333301</v>
      </c>
      <c r="D993" s="3">
        <v>0</v>
      </c>
    </row>
    <row r="994" spans="2:4">
      <c r="B994" s="144">
        <v>43252</v>
      </c>
      <c r="C994" s="139">
        <v>0.25</v>
      </c>
      <c r="D994" s="3">
        <v>58.4</v>
      </c>
    </row>
    <row r="995" spans="2:4">
      <c r="B995" s="144">
        <v>43252</v>
      </c>
      <c r="C995" s="139">
        <v>0.29166666666666702</v>
      </c>
      <c r="D995" s="3">
        <v>211.4</v>
      </c>
    </row>
    <row r="996" spans="2:4">
      <c r="B996" s="144">
        <v>43252</v>
      </c>
      <c r="C996" s="139">
        <v>0.33333333333333298</v>
      </c>
      <c r="D996" s="3">
        <v>253.1</v>
      </c>
    </row>
    <row r="997" spans="2:4">
      <c r="B997" s="144">
        <v>43252</v>
      </c>
      <c r="C997" s="139">
        <v>0.375</v>
      </c>
      <c r="D997" s="3">
        <v>262.2</v>
      </c>
    </row>
    <row r="998" spans="2:4">
      <c r="B998" s="144">
        <v>43252</v>
      </c>
      <c r="C998" s="139">
        <v>0.41666666666666702</v>
      </c>
      <c r="D998" s="3">
        <v>260.2</v>
      </c>
    </row>
    <row r="999" spans="2:4">
      <c r="B999" s="144">
        <v>43252</v>
      </c>
      <c r="C999" s="139">
        <v>0.45833333333333298</v>
      </c>
      <c r="D999" s="3">
        <v>259.7</v>
      </c>
    </row>
    <row r="1000" spans="2:4">
      <c r="B1000" s="144">
        <v>43252</v>
      </c>
      <c r="C1000" s="139">
        <v>0.5</v>
      </c>
      <c r="D1000" s="3">
        <v>269.10000000000002</v>
      </c>
    </row>
    <row r="1001" spans="2:4">
      <c r="B1001" s="144">
        <v>43252</v>
      </c>
      <c r="C1001" s="139">
        <v>0.54166666666666696</v>
      </c>
      <c r="D1001" s="3">
        <v>243.3</v>
      </c>
    </row>
    <row r="1002" spans="2:4">
      <c r="B1002" s="144">
        <v>43252</v>
      </c>
      <c r="C1002" s="139">
        <v>0.58333333333333304</v>
      </c>
      <c r="D1002" s="3">
        <v>220.1</v>
      </c>
    </row>
    <row r="1003" spans="2:4">
      <c r="B1003" s="144">
        <v>43252</v>
      </c>
      <c r="C1003" s="139">
        <v>0.625</v>
      </c>
      <c r="D1003" s="3">
        <v>204.8</v>
      </c>
    </row>
    <row r="1004" spans="2:4">
      <c r="B1004" s="144">
        <v>43252</v>
      </c>
      <c r="C1004" s="139">
        <v>0.66666666666666696</v>
      </c>
      <c r="D1004" s="3">
        <v>192.5</v>
      </c>
    </row>
    <row r="1005" spans="2:4">
      <c r="B1005" s="144">
        <v>43252</v>
      </c>
      <c r="C1005" s="139">
        <v>0.70833333333333304</v>
      </c>
      <c r="D1005" s="3">
        <v>80.8</v>
      </c>
    </row>
    <row r="1006" spans="2:4">
      <c r="B1006" s="144">
        <v>43252</v>
      </c>
      <c r="C1006" s="139">
        <v>0.75</v>
      </c>
      <c r="D1006" s="3">
        <v>0</v>
      </c>
    </row>
    <row r="1007" spans="2:4">
      <c r="B1007" s="144">
        <v>43252</v>
      </c>
      <c r="C1007" s="139">
        <v>0.79166666666666696</v>
      </c>
      <c r="D1007" s="3">
        <v>0</v>
      </c>
    </row>
    <row r="1008" spans="2:4">
      <c r="B1008" s="144">
        <v>43252</v>
      </c>
      <c r="C1008" s="139">
        <v>0.83333333333333304</v>
      </c>
      <c r="D1008" s="3">
        <v>0</v>
      </c>
    </row>
    <row r="1009" spans="2:4">
      <c r="B1009" s="144">
        <v>43252</v>
      </c>
      <c r="C1009" s="139">
        <v>0.875</v>
      </c>
      <c r="D1009" s="3">
        <v>0</v>
      </c>
    </row>
    <row r="1010" spans="2:4">
      <c r="B1010" s="144">
        <v>43252</v>
      </c>
      <c r="C1010" s="139">
        <v>0.91666666666666696</v>
      </c>
      <c r="D1010" s="3">
        <v>0</v>
      </c>
    </row>
    <row r="1011" spans="2:4">
      <c r="B1011" s="144">
        <v>43252</v>
      </c>
      <c r="C1011" s="139">
        <v>0.95833333333333304</v>
      </c>
      <c r="D1011" s="3">
        <v>0</v>
      </c>
    </row>
    <row r="1012" spans="2:4">
      <c r="B1012" s="144">
        <v>43282</v>
      </c>
      <c r="C1012" s="139">
        <v>0</v>
      </c>
      <c r="D1012" s="3">
        <v>0</v>
      </c>
    </row>
    <row r="1013" spans="2:4">
      <c r="B1013" s="144">
        <v>43282</v>
      </c>
      <c r="C1013" s="139">
        <v>4.1666666666666664E-2</v>
      </c>
      <c r="D1013" s="3">
        <v>0</v>
      </c>
    </row>
    <row r="1014" spans="2:4">
      <c r="B1014" s="144">
        <v>43282</v>
      </c>
      <c r="C1014" s="139">
        <v>8.3333333333333301E-2</v>
      </c>
      <c r="D1014" s="3">
        <v>0</v>
      </c>
    </row>
    <row r="1015" spans="2:4">
      <c r="B1015" s="144">
        <v>43282</v>
      </c>
      <c r="C1015" s="139">
        <v>0.125</v>
      </c>
      <c r="D1015" s="3">
        <v>0</v>
      </c>
    </row>
    <row r="1016" spans="2:4">
      <c r="B1016" s="144">
        <v>43282</v>
      </c>
      <c r="C1016" s="139">
        <v>0.16666666666666699</v>
      </c>
      <c r="D1016" s="3">
        <v>0</v>
      </c>
    </row>
    <row r="1017" spans="2:4">
      <c r="B1017" s="144">
        <v>43282</v>
      </c>
      <c r="C1017" s="139">
        <v>0.20833333333333301</v>
      </c>
      <c r="D1017" s="3">
        <v>0</v>
      </c>
    </row>
    <row r="1018" spans="2:4">
      <c r="B1018" s="144">
        <v>43282</v>
      </c>
      <c r="C1018" s="139">
        <v>0.25</v>
      </c>
      <c r="D1018" s="3">
        <v>34.200000000000003</v>
      </c>
    </row>
    <row r="1019" spans="2:4">
      <c r="B1019" s="144">
        <v>43282</v>
      </c>
      <c r="C1019" s="139">
        <v>0.29166666666666702</v>
      </c>
      <c r="D1019" s="3">
        <v>202.1</v>
      </c>
    </row>
    <row r="1020" spans="2:4">
      <c r="B1020" s="144">
        <v>43282</v>
      </c>
      <c r="C1020" s="139">
        <v>0.33333333333333298</v>
      </c>
      <c r="D1020" s="3">
        <v>258.89999999999998</v>
      </c>
    </row>
    <row r="1021" spans="2:4">
      <c r="B1021" s="144">
        <v>43282</v>
      </c>
      <c r="C1021" s="139">
        <v>0.375</v>
      </c>
      <c r="D1021" s="3">
        <v>252.9</v>
      </c>
    </row>
    <row r="1022" spans="2:4">
      <c r="B1022" s="144">
        <v>43282</v>
      </c>
      <c r="C1022" s="139">
        <v>0.41666666666666702</v>
      </c>
      <c r="D1022" s="3">
        <v>241.5</v>
      </c>
    </row>
    <row r="1023" spans="2:4">
      <c r="B1023" s="144">
        <v>43282</v>
      </c>
      <c r="C1023" s="139">
        <v>0.45833333333333298</v>
      </c>
      <c r="D1023" s="3">
        <v>261.7</v>
      </c>
    </row>
    <row r="1024" spans="2:4">
      <c r="B1024" s="144">
        <v>43282</v>
      </c>
      <c r="C1024" s="139">
        <v>0.5</v>
      </c>
      <c r="D1024" s="3">
        <v>267</v>
      </c>
    </row>
    <row r="1025" spans="2:4">
      <c r="B1025" s="144">
        <v>43282</v>
      </c>
      <c r="C1025" s="139">
        <v>0.54166666666666696</v>
      </c>
      <c r="D1025" s="3">
        <v>258.5</v>
      </c>
    </row>
    <row r="1026" spans="2:4">
      <c r="B1026" s="144">
        <v>43282</v>
      </c>
      <c r="C1026" s="139">
        <v>0.58333333333333304</v>
      </c>
      <c r="D1026" s="3">
        <v>248.8</v>
      </c>
    </row>
    <row r="1027" spans="2:4">
      <c r="B1027" s="144">
        <v>43282</v>
      </c>
      <c r="C1027" s="139">
        <v>0.625</v>
      </c>
      <c r="D1027" s="3">
        <v>231.9</v>
      </c>
    </row>
    <row r="1028" spans="2:4">
      <c r="B1028" s="144">
        <v>43282</v>
      </c>
      <c r="C1028" s="139">
        <v>0.66666666666666696</v>
      </c>
      <c r="D1028" s="3">
        <v>213.9</v>
      </c>
    </row>
    <row r="1029" spans="2:4">
      <c r="B1029" s="144">
        <v>43282</v>
      </c>
      <c r="C1029" s="139">
        <v>0.70833333333333304</v>
      </c>
      <c r="D1029" s="3">
        <v>128.5</v>
      </c>
    </row>
    <row r="1030" spans="2:4">
      <c r="B1030" s="144">
        <v>43282</v>
      </c>
      <c r="C1030" s="139">
        <v>0.75</v>
      </c>
      <c r="D1030" s="3">
        <v>0</v>
      </c>
    </row>
    <row r="1031" spans="2:4">
      <c r="B1031" s="144">
        <v>43282</v>
      </c>
      <c r="C1031" s="139">
        <v>0.79166666666666696</v>
      </c>
      <c r="D1031" s="3">
        <v>0</v>
      </c>
    </row>
    <row r="1032" spans="2:4">
      <c r="B1032" s="144">
        <v>43282</v>
      </c>
      <c r="C1032" s="139">
        <v>0.83333333333333304</v>
      </c>
      <c r="D1032" s="3">
        <v>0</v>
      </c>
    </row>
    <row r="1033" spans="2:4">
      <c r="B1033" s="144">
        <v>43282</v>
      </c>
      <c r="C1033" s="139">
        <v>0.875</v>
      </c>
      <c r="D1033" s="3">
        <v>0</v>
      </c>
    </row>
    <row r="1034" spans="2:4">
      <c r="B1034" s="144">
        <v>43282</v>
      </c>
      <c r="C1034" s="139">
        <v>0.91666666666666696</v>
      </c>
      <c r="D1034" s="3">
        <v>0</v>
      </c>
    </row>
    <row r="1035" spans="2:4">
      <c r="B1035" s="144">
        <v>43282</v>
      </c>
      <c r="C1035" s="139">
        <v>0.95833333333333304</v>
      </c>
      <c r="D1035" s="3">
        <v>0</v>
      </c>
    </row>
    <row r="1036" spans="2:4">
      <c r="B1036" s="144">
        <v>43313</v>
      </c>
      <c r="C1036" s="139">
        <v>0</v>
      </c>
      <c r="D1036" s="3">
        <v>0</v>
      </c>
    </row>
    <row r="1037" spans="2:4">
      <c r="B1037" s="144">
        <v>43313</v>
      </c>
      <c r="C1037" s="139">
        <v>4.1666666666666664E-2</v>
      </c>
      <c r="D1037" s="3">
        <v>0</v>
      </c>
    </row>
    <row r="1038" spans="2:4">
      <c r="B1038" s="144">
        <v>43313</v>
      </c>
      <c r="C1038" s="139">
        <v>8.3333333333333301E-2</v>
      </c>
      <c r="D1038" s="3">
        <v>0</v>
      </c>
    </row>
    <row r="1039" spans="2:4">
      <c r="B1039" s="144">
        <v>43313</v>
      </c>
      <c r="C1039" s="139">
        <v>0.125</v>
      </c>
      <c r="D1039" s="3">
        <v>0</v>
      </c>
    </row>
    <row r="1040" spans="2:4">
      <c r="B1040" s="144">
        <v>43313</v>
      </c>
      <c r="C1040" s="139">
        <v>0.16666666666666699</v>
      </c>
      <c r="D1040" s="3">
        <v>0</v>
      </c>
    </row>
    <row r="1041" spans="2:4">
      <c r="B1041" s="144">
        <v>43313</v>
      </c>
      <c r="C1041" s="139">
        <v>0.20833333333333301</v>
      </c>
      <c r="D1041" s="3">
        <v>0</v>
      </c>
    </row>
    <row r="1042" spans="2:4">
      <c r="B1042" s="144">
        <v>43313</v>
      </c>
      <c r="C1042" s="139">
        <v>0.25</v>
      </c>
      <c r="D1042" s="3">
        <v>33.1</v>
      </c>
    </row>
    <row r="1043" spans="2:4">
      <c r="B1043" s="144">
        <v>43313</v>
      </c>
      <c r="C1043" s="139">
        <v>0.29166666666666702</v>
      </c>
      <c r="D1043" s="3">
        <v>198.4</v>
      </c>
    </row>
    <row r="1044" spans="2:4">
      <c r="B1044" s="144">
        <v>43313</v>
      </c>
      <c r="C1044" s="139">
        <v>0.33333333333333298</v>
      </c>
      <c r="D1044" s="3">
        <v>260.5</v>
      </c>
    </row>
    <row r="1045" spans="2:4">
      <c r="B1045" s="144">
        <v>43313</v>
      </c>
      <c r="C1045" s="139">
        <v>0.375</v>
      </c>
      <c r="D1045" s="3">
        <v>242.9</v>
      </c>
    </row>
    <row r="1046" spans="2:4">
      <c r="B1046" s="144">
        <v>43313</v>
      </c>
      <c r="C1046" s="139">
        <v>0.41666666666666702</v>
      </c>
      <c r="D1046" s="3">
        <v>228.4</v>
      </c>
    </row>
    <row r="1047" spans="2:4">
      <c r="B1047" s="144">
        <v>43313</v>
      </c>
      <c r="C1047" s="139">
        <v>0.45833333333333298</v>
      </c>
      <c r="D1047" s="3">
        <v>234.3</v>
      </c>
    </row>
    <row r="1048" spans="2:4">
      <c r="B1048" s="144">
        <v>43313</v>
      </c>
      <c r="C1048" s="139">
        <v>0.5</v>
      </c>
      <c r="D1048" s="3">
        <v>228</v>
      </c>
    </row>
    <row r="1049" spans="2:4">
      <c r="B1049" s="144">
        <v>43313</v>
      </c>
      <c r="C1049" s="139">
        <v>0.54166666666666696</v>
      </c>
      <c r="D1049" s="3">
        <v>230.9</v>
      </c>
    </row>
    <row r="1050" spans="2:4">
      <c r="B1050" s="144">
        <v>43313</v>
      </c>
      <c r="C1050" s="139">
        <v>0.58333333333333304</v>
      </c>
      <c r="D1050" s="3">
        <v>239.2</v>
      </c>
    </row>
    <row r="1051" spans="2:4">
      <c r="B1051" s="144">
        <v>43313</v>
      </c>
      <c r="C1051" s="139">
        <v>0.625</v>
      </c>
      <c r="D1051" s="3">
        <v>248.3</v>
      </c>
    </row>
    <row r="1052" spans="2:4">
      <c r="B1052" s="144">
        <v>43313</v>
      </c>
      <c r="C1052" s="139">
        <v>0.66666666666666696</v>
      </c>
      <c r="D1052" s="3">
        <v>229.2</v>
      </c>
    </row>
    <row r="1053" spans="2:4">
      <c r="B1053" s="144">
        <v>43313</v>
      </c>
      <c r="C1053" s="139">
        <v>0.70833333333333304</v>
      </c>
      <c r="D1053" s="3">
        <v>132.4</v>
      </c>
    </row>
    <row r="1054" spans="2:4">
      <c r="B1054" s="144">
        <v>43313</v>
      </c>
      <c r="C1054" s="139">
        <v>0.75</v>
      </c>
      <c r="D1054" s="3">
        <v>0</v>
      </c>
    </row>
    <row r="1055" spans="2:4">
      <c r="B1055" s="144">
        <v>43313</v>
      </c>
      <c r="C1055" s="139">
        <v>0.79166666666666696</v>
      </c>
      <c r="D1055" s="3">
        <v>0</v>
      </c>
    </row>
    <row r="1056" spans="2:4">
      <c r="B1056" s="144">
        <v>43313</v>
      </c>
      <c r="C1056" s="139">
        <v>0.83333333333333304</v>
      </c>
      <c r="D1056" s="3">
        <v>0</v>
      </c>
    </row>
    <row r="1057" spans="2:4">
      <c r="B1057" s="144">
        <v>43313</v>
      </c>
      <c r="C1057" s="139">
        <v>0.875</v>
      </c>
      <c r="D1057" s="3">
        <v>0</v>
      </c>
    </row>
    <row r="1058" spans="2:4">
      <c r="B1058" s="144">
        <v>43313</v>
      </c>
      <c r="C1058" s="139">
        <v>0.91666666666666696</v>
      </c>
      <c r="D1058" s="3">
        <v>0</v>
      </c>
    </row>
    <row r="1059" spans="2:4">
      <c r="B1059" s="144">
        <v>43313</v>
      </c>
      <c r="C1059" s="139">
        <v>0.95833333333333304</v>
      </c>
      <c r="D1059" s="3">
        <v>0</v>
      </c>
    </row>
    <row r="1060" spans="2:4">
      <c r="B1060" s="144">
        <v>43344</v>
      </c>
      <c r="C1060" s="139">
        <v>0</v>
      </c>
      <c r="D1060" s="3">
        <v>0</v>
      </c>
    </row>
    <row r="1061" spans="2:4">
      <c r="B1061" s="144">
        <v>43344</v>
      </c>
      <c r="C1061" s="139">
        <v>4.1666666666666664E-2</v>
      </c>
      <c r="D1061" s="3">
        <v>0</v>
      </c>
    </row>
    <row r="1062" spans="2:4">
      <c r="B1062" s="144">
        <v>43344</v>
      </c>
      <c r="C1062" s="139">
        <v>8.3333333333333301E-2</v>
      </c>
      <c r="D1062" s="3">
        <v>0</v>
      </c>
    </row>
    <row r="1063" spans="2:4">
      <c r="B1063" s="144">
        <v>43344</v>
      </c>
      <c r="C1063" s="139">
        <v>0.125</v>
      </c>
      <c r="D1063" s="3">
        <v>0</v>
      </c>
    </row>
    <row r="1064" spans="2:4">
      <c r="B1064" s="144">
        <v>43344</v>
      </c>
      <c r="C1064" s="139">
        <v>0.16666666666666699</v>
      </c>
      <c r="D1064" s="3">
        <v>0</v>
      </c>
    </row>
    <row r="1065" spans="2:4">
      <c r="B1065" s="144">
        <v>43344</v>
      </c>
      <c r="C1065" s="139">
        <v>0.20833333333333301</v>
      </c>
      <c r="D1065" s="3">
        <v>0</v>
      </c>
    </row>
    <row r="1066" spans="2:4">
      <c r="B1066" s="144">
        <v>43344</v>
      </c>
      <c r="C1066" s="139">
        <v>0.25</v>
      </c>
      <c r="D1066" s="3">
        <v>66.5</v>
      </c>
    </row>
    <row r="1067" spans="2:4">
      <c r="B1067" s="144">
        <v>43344</v>
      </c>
      <c r="C1067" s="139">
        <v>0.29166666666666702</v>
      </c>
      <c r="D1067" s="3">
        <v>191.6</v>
      </c>
    </row>
    <row r="1068" spans="2:4">
      <c r="B1068" s="144">
        <v>43344</v>
      </c>
      <c r="C1068" s="139">
        <v>0.33333333333333298</v>
      </c>
      <c r="D1068" s="3">
        <v>248.9</v>
      </c>
    </row>
    <row r="1069" spans="2:4">
      <c r="B1069" s="144">
        <v>43344</v>
      </c>
      <c r="C1069" s="139">
        <v>0.375</v>
      </c>
      <c r="D1069" s="3">
        <v>237.6</v>
      </c>
    </row>
    <row r="1070" spans="2:4">
      <c r="B1070" s="144">
        <v>43344</v>
      </c>
      <c r="C1070" s="139">
        <v>0.41666666666666702</v>
      </c>
      <c r="D1070" s="3">
        <v>236.6</v>
      </c>
    </row>
    <row r="1071" spans="2:4">
      <c r="B1071" s="144">
        <v>43344</v>
      </c>
      <c r="C1071" s="139">
        <v>0.45833333333333298</v>
      </c>
      <c r="D1071" s="3">
        <v>262.60000000000002</v>
      </c>
    </row>
    <row r="1072" spans="2:4">
      <c r="B1072" s="144">
        <v>43344</v>
      </c>
      <c r="C1072" s="139">
        <v>0.5</v>
      </c>
      <c r="D1072" s="3">
        <v>258.10000000000002</v>
      </c>
    </row>
    <row r="1073" spans="2:4">
      <c r="B1073" s="144">
        <v>43344</v>
      </c>
      <c r="C1073" s="139">
        <v>0.54166666666666696</v>
      </c>
      <c r="D1073" s="3">
        <v>279.60000000000002</v>
      </c>
    </row>
    <row r="1074" spans="2:4">
      <c r="B1074" s="144">
        <v>43344</v>
      </c>
      <c r="C1074" s="139">
        <v>0.58333333333333304</v>
      </c>
      <c r="D1074" s="3">
        <v>261.2</v>
      </c>
    </row>
    <row r="1075" spans="2:4">
      <c r="B1075" s="144">
        <v>43344</v>
      </c>
      <c r="C1075" s="139">
        <v>0.625</v>
      </c>
      <c r="D1075" s="3">
        <v>240.7</v>
      </c>
    </row>
    <row r="1076" spans="2:4">
      <c r="B1076" s="144">
        <v>43344</v>
      </c>
      <c r="C1076" s="139">
        <v>0.66666666666666696</v>
      </c>
      <c r="D1076" s="3">
        <v>192</v>
      </c>
    </row>
    <row r="1077" spans="2:4">
      <c r="B1077" s="144">
        <v>43344</v>
      </c>
      <c r="C1077" s="139">
        <v>0.70833333333333304</v>
      </c>
      <c r="D1077" s="3">
        <v>69.599999999999994</v>
      </c>
    </row>
    <row r="1078" spans="2:4">
      <c r="B1078" s="144">
        <v>43344</v>
      </c>
      <c r="C1078" s="139">
        <v>0.75</v>
      </c>
      <c r="D1078" s="3">
        <v>0</v>
      </c>
    </row>
    <row r="1079" spans="2:4">
      <c r="B1079" s="144">
        <v>43344</v>
      </c>
      <c r="C1079" s="139">
        <v>0.79166666666666696</v>
      </c>
      <c r="D1079" s="3">
        <v>0</v>
      </c>
    </row>
    <row r="1080" spans="2:4">
      <c r="B1080" s="144">
        <v>43344</v>
      </c>
      <c r="C1080" s="139">
        <v>0.83333333333333304</v>
      </c>
      <c r="D1080" s="3">
        <v>0</v>
      </c>
    </row>
    <row r="1081" spans="2:4">
      <c r="B1081" s="144">
        <v>43344</v>
      </c>
      <c r="C1081" s="139">
        <v>0.875</v>
      </c>
      <c r="D1081" s="3">
        <v>0</v>
      </c>
    </row>
    <row r="1082" spans="2:4">
      <c r="B1082" s="144">
        <v>43344</v>
      </c>
      <c r="C1082" s="139">
        <v>0.91666666666666696</v>
      </c>
      <c r="D1082" s="3">
        <v>0</v>
      </c>
    </row>
    <row r="1083" spans="2:4">
      <c r="B1083" s="144">
        <v>43344</v>
      </c>
      <c r="C1083" s="139">
        <v>0.95833333333333304</v>
      </c>
      <c r="D1083" s="3">
        <v>0</v>
      </c>
    </row>
    <row r="1084" spans="2:4">
      <c r="B1084" s="144">
        <v>43374</v>
      </c>
      <c r="C1084" s="139">
        <v>0</v>
      </c>
      <c r="D1084" s="3">
        <v>0</v>
      </c>
    </row>
    <row r="1085" spans="2:4">
      <c r="B1085" s="144">
        <v>43374</v>
      </c>
      <c r="C1085" s="139">
        <v>4.1666666666666664E-2</v>
      </c>
      <c r="D1085" s="3">
        <v>0</v>
      </c>
    </row>
    <row r="1086" spans="2:4">
      <c r="B1086" s="144">
        <v>43374</v>
      </c>
      <c r="C1086" s="139">
        <v>8.3333333333333301E-2</v>
      </c>
      <c r="D1086" s="3">
        <v>0</v>
      </c>
    </row>
    <row r="1087" spans="2:4">
      <c r="B1087" s="144">
        <v>43374</v>
      </c>
      <c r="C1087" s="139">
        <v>0.125</v>
      </c>
      <c r="D1087" s="3">
        <v>0</v>
      </c>
    </row>
    <row r="1088" spans="2:4">
      <c r="B1088" s="144">
        <v>43374</v>
      </c>
      <c r="C1088" s="139">
        <v>0.16666666666666699</v>
      </c>
      <c r="D1088" s="3">
        <v>0</v>
      </c>
    </row>
    <row r="1089" spans="2:4">
      <c r="B1089" s="144">
        <v>43374</v>
      </c>
      <c r="C1089" s="139">
        <v>0.20833333333333301</v>
      </c>
      <c r="D1089" s="3">
        <v>0</v>
      </c>
    </row>
    <row r="1090" spans="2:4">
      <c r="B1090" s="144">
        <v>43374</v>
      </c>
      <c r="C1090" s="139">
        <v>0.25</v>
      </c>
      <c r="D1090" s="3">
        <v>83.1</v>
      </c>
    </row>
    <row r="1091" spans="2:4">
      <c r="B1091" s="144">
        <v>43374</v>
      </c>
      <c r="C1091" s="139">
        <v>0.29166666666666702</v>
      </c>
      <c r="D1091" s="3">
        <v>188.4</v>
      </c>
    </row>
    <row r="1092" spans="2:4">
      <c r="B1092" s="144">
        <v>43374</v>
      </c>
      <c r="C1092" s="139">
        <v>0.33333333333333298</v>
      </c>
      <c r="D1092" s="3">
        <v>243.2</v>
      </c>
    </row>
    <row r="1093" spans="2:4">
      <c r="B1093" s="144">
        <v>43374</v>
      </c>
      <c r="C1093" s="139">
        <v>0.375</v>
      </c>
      <c r="D1093" s="3">
        <v>259.8</v>
      </c>
    </row>
    <row r="1094" spans="2:4">
      <c r="B1094" s="144">
        <v>43374</v>
      </c>
      <c r="C1094" s="139">
        <v>0.41666666666666702</v>
      </c>
      <c r="D1094" s="3">
        <v>260.39999999999998</v>
      </c>
    </row>
    <row r="1095" spans="2:4">
      <c r="B1095" s="144">
        <v>43374</v>
      </c>
      <c r="C1095" s="139">
        <v>0.45833333333333298</v>
      </c>
      <c r="D1095" s="3">
        <v>258.5</v>
      </c>
    </row>
    <row r="1096" spans="2:4">
      <c r="B1096" s="144">
        <v>43374</v>
      </c>
      <c r="C1096" s="139">
        <v>0.5</v>
      </c>
      <c r="D1096" s="3">
        <v>236.6</v>
      </c>
    </row>
    <row r="1097" spans="2:4">
      <c r="B1097" s="144">
        <v>43374</v>
      </c>
      <c r="C1097" s="139">
        <v>0.54166666666666696</v>
      </c>
      <c r="D1097" s="3">
        <v>251.9</v>
      </c>
    </row>
    <row r="1098" spans="2:4">
      <c r="B1098" s="144">
        <v>43374</v>
      </c>
      <c r="C1098" s="139">
        <v>0.58333333333333304</v>
      </c>
      <c r="D1098" s="3">
        <v>245.3</v>
      </c>
    </row>
    <row r="1099" spans="2:4">
      <c r="B1099" s="144">
        <v>43374</v>
      </c>
      <c r="C1099" s="139">
        <v>0.625</v>
      </c>
      <c r="D1099" s="3">
        <v>211.3</v>
      </c>
    </row>
    <row r="1100" spans="2:4">
      <c r="B1100" s="144">
        <v>43374</v>
      </c>
      <c r="C1100" s="139">
        <v>0.66666666666666696</v>
      </c>
      <c r="D1100" s="3">
        <v>172.2</v>
      </c>
    </row>
    <row r="1101" spans="2:4">
      <c r="B1101" s="144">
        <v>43374</v>
      </c>
      <c r="C1101" s="139">
        <v>0.70833333333333304</v>
      </c>
      <c r="D1101" s="3">
        <v>58.3</v>
      </c>
    </row>
    <row r="1102" spans="2:4">
      <c r="B1102" s="144">
        <v>43374</v>
      </c>
      <c r="C1102" s="139">
        <v>0.75</v>
      </c>
      <c r="D1102" s="3">
        <v>0</v>
      </c>
    </row>
    <row r="1103" spans="2:4">
      <c r="B1103" s="144">
        <v>43374</v>
      </c>
      <c r="C1103" s="139">
        <v>0.79166666666666696</v>
      </c>
      <c r="D1103" s="3">
        <v>0</v>
      </c>
    </row>
    <row r="1104" spans="2:4">
      <c r="B1104" s="144">
        <v>43374</v>
      </c>
      <c r="C1104" s="139">
        <v>0.83333333333333304</v>
      </c>
      <c r="D1104" s="3">
        <v>0</v>
      </c>
    </row>
    <row r="1105" spans="2:4">
      <c r="B1105" s="144">
        <v>43374</v>
      </c>
      <c r="C1105" s="139">
        <v>0.875</v>
      </c>
      <c r="D1105" s="3">
        <v>0</v>
      </c>
    </row>
    <row r="1106" spans="2:4">
      <c r="B1106" s="144">
        <v>43374</v>
      </c>
      <c r="C1106" s="139">
        <v>0.91666666666666696</v>
      </c>
      <c r="D1106" s="3">
        <v>0</v>
      </c>
    </row>
    <row r="1107" spans="2:4">
      <c r="B1107" s="144">
        <v>43374</v>
      </c>
      <c r="C1107" s="139">
        <v>0.95833333333333304</v>
      </c>
      <c r="D1107" s="3">
        <v>0</v>
      </c>
    </row>
    <row r="1108" spans="2:4">
      <c r="B1108" s="144">
        <v>43405</v>
      </c>
      <c r="C1108" s="139">
        <v>0</v>
      </c>
      <c r="D1108" s="3">
        <v>0</v>
      </c>
    </row>
    <row r="1109" spans="2:4">
      <c r="B1109" s="144">
        <v>43405</v>
      </c>
      <c r="C1109" s="139">
        <v>4.1666666666666664E-2</v>
      </c>
      <c r="D1109" s="3">
        <v>0</v>
      </c>
    </row>
    <row r="1110" spans="2:4">
      <c r="B1110" s="144">
        <v>43405</v>
      </c>
      <c r="C1110" s="139">
        <v>8.3333333333333301E-2</v>
      </c>
      <c r="D1110" s="3">
        <v>0</v>
      </c>
    </row>
    <row r="1111" spans="2:4">
      <c r="B1111" s="144">
        <v>43405</v>
      </c>
      <c r="C1111" s="139">
        <v>0.125</v>
      </c>
      <c r="D1111" s="3">
        <v>0</v>
      </c>
    </row>
    <row r="1112" spans="2:4">
      <c r="B1112" s="144">
        <v>43405</v>
      </c>
      <c r="C1112" s="139">
        <v>0.16666666666666699</v>
      </c>
      <c r="D1112" s="3">
        <v>0</v>
      </c>
    </row>
    <row r="1113" spans="2:4">
      <c r="B1113" s="144">
        <v>43405</v>
      </c>
      <c r="C1113" s="139">
        <v>0.20833333333333301</v>
      </c>
      <c r="D1113" s="3">
        <v>0</v>
      </c>
    </row>
    <row r="1114" spans="2:4">
      <c r="B1114" s="144">
        <v>43405</v>
      </c>
      <c r="C1114" s="139">
        <v>0.25</v>
      </c>
      <c r="D1114" s="3">
        <v>106</v>
      </c>
    </row>
    <row r="1115" spans="2:4">
      <c r="B1115" s="144">
        <v>43405</v>
      </c>
      <c r="C1115" s="139">
        <v>0.29166666666666702</v>
      </c>
      <c r="D1115" s="3">
        <v>205.4</v>
      </c>
    </row>
    <row r="1116" spans="2:4">
      <c r="B1116" s="144">
        <v>43405</v>
      </c>
      <c r="C1116" s="139">
        <v>0.33333333333333298</v>
      </c>
      <c r="D1116" s="3">
        <v>248</v>
      </c>
    </row>
    <row r="1117" spans="2:4">
      <c r="B1117" s="144">
        <v>43405</v>
      </c>
      <c r="C1117" s="139">
        <v>0.375</v>
      </c>
      <c r="D1117" s="3">
        <v>257.3</v>
      </c>
    </row>
    <row r="1118" spans="2:4">
      <c r="B1118" s="144">
        <v>43405</v>
      </c>
      <c r="C1118" s="139">
        <v>0.41666666666666702</v>
      </c>
      <c r="D1118" s="3">
        <v>245.2</v>
      </c>
    </row>
    <row r="1119" spans="2:4">
      <c r="B1119" s="144">
        <v>43405</v>
      </c>
      <c r="C1119" s="139">
        <v>0.45833333333333298</v>
      </c>
      <c r="D1119" s="3">
        <v>241.9</v>
      </c>
    </row>
    <row r="1120" spans="2:4">
      <c r="B1120" s="144">
        <v>43405</v>
      </c>
      <c r="C1120" s="139">
        <v>0.5</v>
      </c>
      <c r="D1120" s="3">
        <v>235.8</v>
      </c>
    </row>
    <row r="1121" spans="2:4">
      <c r="B1121" s="144">
        <v>43405</v>
      </c>
      <c r="C1121" s="139">
        <v>0.54166666666666696</v>
      </c>
      <c r="D1121" s="3">
        <v>224.7</v>
      </c>
    </row>
    <row r="1122" spans="2:4">
      <c r="B1122" s="144">
        <v>43405</v>
      </c>
      <c r="C1122" s="139">
        <v>0.58333333333333304</v>
      </c>
      <c r="D1122" s="3">
        <v>215.2</v>
      </c>
    </row>
    <row r="1123" spans="2:4">
      <c r="B1123" s="144">
        <v>43405</v>
      </c>
      <c r="C1123" s="139">
        <v>0.625</v>
      </c>
      <c r="D1123" s="3">
        <v>200</v>
      </c>
    </row>
    <row r="1124" spans="2:4">
      <c r="B1124" s="144">
        <v>43405</v>
      </c>
      <c r="C1124" s="139">
        <v>0.66666666666666696</v>
      </c>
      <c r="D1124" s="3">
        <v>177.9</v>
      </c>
    </row>
    <row r="1125" spans="2:4">
      <c r="B1125" s="144">
        <v>43405</v>
      </c>
      <c r="C1125" s="139">
        <v>0.70833333333333304</v>
      </c>
      <c r="D1125" s="3">
        <v>68.599999999999994</v>
      </c>
    </row>
    <row r="1126" spans="2:4">
      <c r="B1126" s="144">
        <v>43405</v>
      </c>
      <c r="C1126" s="139">
        <v>0.75</v>
      </c>
      <c r="D1126" s="3">
        <v>0</v>
      </c>
    </row>
    <row r="1127" spans="2:4">
      <c r="B1127" s="144">
        <v>43405</v>
      </c>
      <c r="C1127" s="139">
        <v>0.79166666666666696</v>
      </c>
      <c r="D1127" s="3">
        <v>0</v>
      </c>
    </row>
    <row r="1128" spans="2:4">
      <c r="B1128" s="144">
        <v>43405</v>
      </c>
      <c r="C1128" s="139">
        <v>0.83333333333333304</v>
      </c>
      <c r="D1128" s="3">
        <v>0</v>
      </c>
    </row>
    <row r="1129" spans="2:4">
      <c r="B1129" s="144">
        <v>43405</v>
      </c>
      <c r="C1129" s="139">
        <v>0.875</v>
      </c>
      <c r="D1129" s="3">
        <v>0</v>
      </c>
    </row>
    <row r="1130" spans="2:4">
      <c r="B1130" s="144">
        <v>43405</v>
      </c>
      <c r="C1130" s="139">
        <v>0.91666666666666696</v>
      </c>
      <c r="D1130" s="3">
        <v>0</v>
      </c>
    </row>
    <row r="1131" spans="2:4">
      <c r="B1131" s="144">
        <v>43405</v>
      </c>
      <c r="C1131" s="139">
        <v>0.95833333333333304</v>
      </c>
      <c r="D1131" s="3">
        <v>0</v>
      </c>
    </row>
    <row r="1132" spans="2:4">
      <c r="B1132" s="144">
        <v>43435</v>
      </c>
      <c r="C1132" s="139">
        <v>0</v>
      </c>
      <c r="D1132" s="3">
        <v>0</v>
      </c>
    </row>
    <row r="1133" spans="2:4">
      <c r="B1133" s="144">
        <v>43435</v>
      </c>
      <c r="C1133" s="139">
        <v>4.1666666666666664E-2</v>
      </c>
      <c r="D1133" s="3">
        <v>0</v>
      </c>
    </row>
    <row r="1134" spans="2:4">
      <c r="B1134" s="144">
        <v>43435</v>
      </c>
      <c r="C1134" s="139">
        <v>8.3333333333333301E-2</v>
      </c>
      <c r="D1134" s="3">
        <v>0</v>
      </c>
    </row>
    <row r="1135" spans="2:4">
      <c r="B1135" s="144">
        <v>43435</v>
      </c>
      <c r="C1135" s="139">
        <v>0.125</v>
      </c>
      <c r="D1135" s="3">
        <v>0</v>
      </c>
    </row>
    <row r="1136" spans="2:4">
      <c r="B1136" s="144">
        <v>43435</v>
      </c>
      <c r="C1136" s="139">
        <v>0.16666666666666699</v>
      </c>
      <c r="D1136" s="3">
        <v>0</v>
      </c>
    </row>
    <row r="1137" spans="2:4">
      <c r="B1137" s="144">
        <v>43435</v>
      </c>
      <c r="C1137" s="139">
        <v>0.20833333333333301</v>
      </c>
      <c r="D1137" s="3">
        <v>0</v>
      </c>
    </row>
    <row r="1138" spans="2:4">
      <c r="B1138" s="144">
        <v>43435</v>
      </c>
      <c r="C1138" s="139">
        <v>0.25</v>
      </c>
      <c r="D1138" s="3">
        <v>63.7</v>
      </c>
    </row>
    <row r="1139" spans="2:4">
      <c r="B1139" s="144">
        <v>43435</v>
      </c>
      <c r="C1139" s="139">
        <v>0.29166666666666702</v>
      </c>
      <c r="D1139" s="3">
        <v>159.5</v>
      </c>
    </row>
    <row r="1140" spans="2:4">
      <c r="B1140" s="144">
        <v>43435</v>
      </c>
      <c r="C1140" s="139">
        <v>0.33333333333333298</v>
      </c>
      <c r="D1140" s="3">
        <v>207.1</v>
      </c>
    </row>
    <row r="1141" spans="2:4">
      <c r="B1141" s="144">
        <v>43435</v>
      </c>
      <c r="C1141" s="139">
        <v>0.375</v>
      </c>
      <c r="D1141" s="3">
        <v>241.5</v>
      </c>
    </row>
    <row r="1142" spans="2:4">
      <c r="B1142" s="144">
        <v>43435</v>
      </c>
      <c r="C1142" s="139">
        <v>0.41666666666666702</v>
      </c>
      <c r="D1142" s="3">
        <v>254.2</v>
      </c>
    </row>
    <row r="1143" spans="2:4">
      <c r="B1143" s="144">
        <v>43435</v>
      </c>
      <c r="C1143" s="139">
        <v>0.45833333333333298</v>
      </c>
      <c r="D1143" s="3">
        <v>255.9</v>
      </c>
    </row>
    <row r="1144" spans="2:4">
      <c r="B1144" s="144">
        <v>43435</v>
      </c>
      <c r="C1144" s="139">
        <v>0.5</v>
      </c>
      <c r="D1144" s="3">
        <v>251.3</v>
      </c>
    </row>
    <row r="1145" spans="2:4">
      <c r="B1145" s="144">
        <v>43435</v>
      </c>
      <c r="C1145" s="139">
        <v>0.54166666666666696</v>
      </c>
      <c r="D1145" s="3">
        <v>240</v>
      </c>
    </row>
    <row r="1146" spans="2:4">
      <c r="B1146" s="144">
        <v>43435</v>
      </c>
      <c r="C1146" s="139">
        <v>0.58333333333333304</v>
      </c>
      <c r="D1146" s="3">
        <v>228</v>
      </c>
    </row>
    <row r="1147" spans="2:4">
      <c r="B1147" s="144">
        <v>43435</v>
      </c>
      <c r="C1147" s="139">
        <v>0.625</v>
      </c>
      <c r="D1147" s="3">
        <v>201.6</v>
      </c>
    </row>
    <row r="1148" spans="2:4">
      <c r="B1148" s="144">
        <v>43435</v>
      </c>
      <c r="C1148" s="139">
        <v>0.66666666666666696</v>
      </c>
      <c r="D1148" s="3">
        <v>170.7</v>
      </c>
    </row>
    <row r="1149" spans="2:4">
      <c r="B1149" s="144">
        <v>43435</v>
      </c>
      <c r="C1149" s="139">
        <v>0.70833333333333304</v>
      </c>
      <c r="D1149" s="3">
        <v>93.6</v>
      </c>
    </row>
    <row r="1150" spans="2:4">
      <c r="B1150" s="144">
        <v>43435</v>
      </c>
      <c r="C1150" s="139">
        <v>0.75</v>
      </c>
      <c r="D1150" s="3">
        <v>0</v>
      </c>
    </row>
    <row r="1151" spans="2:4">
      <c r="B1151" s="144">
        <v>43435</v>
      </c>
      <c r="C1151" s="139">
        <v>0.79166666666666696</v>
      </c>
      <c r="D1151" s="3">
        <v>0</v>
      </c>
    </row>
    <row r="1152" spans="2:4">
      <c r="B1152" s="144">
        <v>43435</v>
      </c>
      <c r="C1152" s="139">
        <v>0.83333333333333304</v>
      </c>
      <c r="D1152" s="3">
        <v>0</v>
      </c>
    </row>
    <row r="1153" spans="2:4">
      <c r="B1153" s="144">
        <v>43435</v>
      </c>
      <c r="C1153" s="139">
        <v>0.875</v>
      </c>
      <c r="D1153" s="3">
        <v>0</v>
      </c>
    </row>
    <row r="1154" spans="2:4">
      <c r="B1154" s="144">
        <v>43435</v>
      </c>
      <c r="C1154" s="139">
        <v>0.91666666666666696</v>
      </c>
      <c r="D1154" s="3">
        <v>0</v>
      </c>
    </row>
    <row r="1155" spans="2:4">
      <c r="B1155" s="144">
        <v>43435</v>
      </c>
      <c r="C1155" s="139">
        <v>0.95833333333333304</v>
      </c>
      <c r="D1155" s="3">
        <v>0</v>
      </c>
    </row>
    <row r="1156" spans="2:4">
      <c r="B1156" s="144">
        <v>43466</v>
      </c>
      <c r="C1156" s="139">
        <v>0</v>
      </c>
      <c r="D1156" s="3">
        <v>0</v>
      </c>
    </row>
    <row r="1157" spans="2:4">
      <c r="B1157" s="144">
        <v>43466</v>
      </c>
      <c r="C1157" s="139">
        <v>4.1666666666666664E-2</v>
      </c>
      <c r="D1157" s="3">
        <v>0</v>
      </c>
    </row>
    <row r="1158" spans="2:4">
      <c r="B1158" s="144">
        <v>43466</v>
      </c>
      <c r="C1158" s="139">
        <v>8.3333333333333301E-2</v>
      </c>
      <c r="D1158" s="3">
        <v>0</v>
      </c>
    </row>
    <row r="1159" spans="2:4">
      <c r="B1159" s="144">
        <v>43466</v>
      </c>
      <c r="C1159" s="139">
        <v>0.125</v>
      </c>
      <c r="D1159" s="3">
        <v>0</v>
      </c>
    </row>
    <row r="1160" spans="2:4">
      <c r="B1160" s="144">
        <v>43466</v>
      </c>
      <c r="C1160" s="139">
        <v>0.16666666666666699</v>
      </c>
      <c r="D1160" s="3">
        <v>0</v>
      </c>
    </row>
    <row r="1161" spans="2:4">
      <c r="B1161" s="144">
        <v>43466</v>
      </c>
      <c r="C1161" s="139">
        <v>0.20833333333333301</v>
      </c>
      <c r="D1161" s="3">
        <v>0</v>
      </c>
    </row>
    <row r="1162" spans="2:4">
      <c r="B1162" s="144">
        <v>43466</v>
      </c>
      <c r="C1162" s="139">
        <v>0.25</v>
      </c>
      <c r="D1162" s="3">
        <v>21.4</v>
      </c>
    </row>
    <row r="1163" spans="2:4">
      <c r="B1163" s="144">
        <v>43466</v>
      </c>
      <c r="C1163" s="139">
        <v>0.29166666666666702</v>
      </c>
      <c r="D1163" s="3">
        <v>131.80000000000001</v>
      </c>
    </row>
    <row r="1164" spans="2:4">
      <c r="B1164" s="144">
        <v>43466</v>
      </c>
      <c r="C1164" s="139">
        <v>0.33333333333333298</v>
      </c>
      <c r="D1164" s="3">
        <v>190.4</v>
      </c>
    </row>
    <row r="1165" spans="2:4">
      <c r="B1165" s="144">
        <v>43466</v>
      </c>
      <c r="C1165" s="139">
        <v>0.375</v>
      </c>
      <c r="D1165" s="3">
        <v>229.3</v>
      </c>
    </row>
    <row r="1166" spans="2:4">
      <c r="B1166" s="144">
        <v>43466</v>
      </c>
      <c r="C1166" s="139">
        <v>0.41666666666666702</v>
      </c>
      <c r="D1166" s="3">
        <v>243.8</v>
      </c>
    </row>
    <row r="1167" spans="2:4">
      <c r="B1167" s="144">
        <v>43466</v>
      </c>
      <c r="C1167" s="139">
        <v>0.45833333333333298</v>
      </c>
      <c r="D1167" s="3">
        <v>236.3</v>
      </c>
    </row>
    <row r="1168" spans="2:4">
      <c r="B1168" s="144">
        <v>43466</v>
      </c>
      <c r="C1168" s="139">
        <v>0.5</v>
      </c>
      <c r="D1168" s="3">
        <v>246.9</v>
      </c>
    </row>
    <row r="1169" spans="2:4">
      <c r="B1169" s="144">
        <v>43466</v>
      </c>
      <c r="C1169" s="139">
        <v>0.54166666666666696</v>
      </c>
      <c r="D1169" s="3">
        <v>242</v>
      </c>
    </row>
    <row r="1170" spans="2:4">
      <c r="B1170" s="144">
        <v>43466</v>
      </c>
      <c r="C1170" s="139">
        <v>0.58333333333333304</v>
      </c>
      <c r="D1170" s="3">
        <v>240.5</v>
      </c>
    </row>
    <row r="1171" spans="2:4">
      <c r="B1171" s="144">
        <v>43466</v>
      </c>
      <c r="C1171" s="139">
        <v>0.625</v>
      </c>
      <c r="D1171" s="3">
        <v>210.9</v>
      </c>
    </row>
    <row r="1172" spans="2:4">
      <c r="B1172" s="144">
        <v>43466</v>
      </c>
      <c r="C1172" s="139">
        <v>0.66666666666666696</v>
      </c>
      <c r="D1172" s="3">
        <v>173.1</v>
      </c>
    </row>
    <row r="1173" spans="2:4">
      <c r="B1173" s="144">
        <v>43466</v>
      </c>
      <c r="C1173" s="139">
        <v>0.70833333333333304</v>
      </c>
      <c r="D1173" s="3">
        <v>119.2</v>
      </c>
    </row>
    <row r="1174" spans="2:4">
      <c r="B1174" s="144">
        <v>43466</v>
      </c>
      <c r="C1174" s="139">
        <v>0.75</v>
      </c>
      <c r="D1174" s="3">
        <v>0</v>
      </c>
    </row>
    <row r="1175" spans="2:4">
      <c r="B1175" s="144">
        <v>43466</v>
      </c>
      <c r="C1175" s="139">
        <v>0.79166666666666696</v>
      </c>
      <c r="D1175" s="3">
        <v>0</v>
      </c>
    </row>
    <row r="1176" spans="2:4">
      <c r="B1176" s="144">
        <v>43466</v>
      </c>
      <c r="C1176" s="139">
        <v>0.83333333333333304</v>
      </c>
      <c r="D1176" s="3">
        <v>0</v>
      </c>
    </row>
    <row r="1177" spans="2:4">
      <c r="B1177" s="144">
        <v>43466</v>
      </c>
      <c r="C1177" s="139">
        <v>0.875</v>
      </c>
      <c r="D1177" s="3">
        <v>0</v>
      </c>
    </row>
    <row r="1178" spans="2:4">
      <c r="B1178" s="144">
        <v>43466</v>
      </c>
      <c r="C1178" s="139">
        <v>0.91666666666666696</v>
      </c>
      <c r="D1178" s="3">
        <v>0</v>
      </c>
    </row>
    <row r="1179" spans="2:4">
      <c r="B1179" s="144">
        <v>43466</v>
      </c>
      <c r="C1179" s="139">
        <v>0.95833333333333304</v>
      </c>
      <c r="D1179" s="3">
        <v>0</v>
      </c>
    </row>
    <row r="1180" spans="2:4">
      <c r="B1180" s="144">
        <v>43497</v>
      </c>
      <c r="C1180" s="139">
        <v>0</v>
      </c>
      <c r="D1180" s="3">
        <v>0</v>
      </c>
    </row>
    <row r="1181" spans="2:4">
      <c r="B1181" s="144">
        <v>43497</v>
      </c>
      <c r="C1181" s="139">
        <v>4.1666666666666664E-2</v>
      </c>
      <c r="D1181" s="3">
        <v>0</v>
      </c>
    </row>
    <row r="1182" spans="2:4">
      <c r="B1182" s="144">
        <v>43497</v>
      </c>
      <c r="C1182" s="139">
        <v>8.3333333333333301E-2</v>
      </c>
      <c r="D1182" s="3">
        <v>0</v>
      </c>
    </row>
    <row r="1183" spans="2:4">
      <c r="B1183" s="144">
        <v>43497</v>
      </c>
      <c r="C1183" s="139">
        <v>0.125</v>
      </c>
      <c r="D1183" s="3">
        <v>0</v>
      </c>
    </row>
    <row r="1184" spans="2:4">
      <c r="B1184" s="144">
        <v>43497</v>
      </c>
      <c r="C1184" s="139">
        <v>0.16666666666666699</v>
      </c>
      <c r="D1184" s="3">
        <v>0</v>
      </c>
    </row>
    <row r="1185" spans="2:4">
      <c r="B1185" s="144">
        <v>43497</v>
      </c>
      <c r="C1185" s="139">
        <v>0.20833333333333301</v>
      </c>
      <c r="D1185" s="3">
        <v>0</v>
      </c>
    </row>
    <row r="1186" spans="2:4">
      <c r="B1186" s="144">
        <v>43497</v>
      </c>
      <c r="C1186" s="139">
        <v>0.25</v>
      </c>
      <c r="D1186" s="3">
        <v>23.1</v>
      </c>
    </row>
    <row r="1187" spans="2:4">
      <c r="B1187" s="144">
        <v>43497</v>
      </c>
      <c r="C1187" s="139">
        <v>0.29166666666666702</v>
      </c>
      <c r="D1187" s="3">
        <v>157.69999999999999</v>
      </c>
    </row>
    <row r="1188" spans="2:4">
      <c r="B1188" s="144">
        <v>43497</v>
      </c>
      <c r="C1188" s="139">
        <v>0.33333333333333298</v>
      </c>
      <c r="D1188" s="3">
        <v>227.1</v>
      </c>
    </row>
    <row r="1189" spans="2:4">
      <c r="B1189" s="144">
        <v>43497</v>
      </c>
      <c r="C1189" s="139">
        <v>0.375</v>
      </c>
      <c r="D1189" s="3">
        <v>270.5</v>
      </c>
    </row>
    <row r="1190" spans="2:4">
      <c r="B1190" s="144">
        <v>43497</v>
      </c>
      <c r="C1190" s="139">
        <v>0.41666666666666702</v>
      </c>
      <c r="D1190" s="3">
        <v>270.60000000000002</v>
      </c>
    </row>
    <row r="1191" spans="2:4">
      <c r="B1191" s="144">
        <v>43497</v>
      </c>
      <c r="C1191" s="139">
        <v>0.45833333333333298</v>
      </c>
      <c r="D1191" s="3">
        <v>271.3</v>
      </c>
    </row>
    <row r="1192" spans="2:4">
      <c r="B1192" s="144">
        <v>43497</v>
      </c>
      <c r="C1192" s="139">
        <v>0.5</v>
      </c>
      <c r="D1192" s="3">
        <v>252.6</v>
      </c>
    </row>
    <row r="1193" spans="2:4">
      <c r="B1193" s="144">
        <v>43497</v>
      </c>
      <c r="C1193" s="139">
        <v>0.54166666666666696</v>
      </c>
      <c r="D1193" s="3">
        <v>254.1</v>
      </c>
    </row>
    <row r="1194" spans="2:4">
      <c r="B1194" s="144">
        <v>43497</v>
      </c>
      <c r="C1194" s="139">
        <v>0.58333333333333304</v>
      </c>
      <c r="D1194" s="3">
        <v>283</v>
      </c>
    </row>
    <row r="1195" spans="2:4">
      <c r="B1195" s="144">
        <v>43497</v>
      </c>
      <c r="C1195" s="139">
        <v>0.625</v>
      </c>
      <c r="D1195" s="3">
        <v>269.8</v>
      </c>
    </row>
    <row r="1196" spans="2:4">
      <c r="B1196" s="144">
        <v>43497</v>
      </c>
      <c r="C1196" s="139">
        <v>0.66666666666666696</v>
      </c>
      <c r="D1196" s="3">
        <v>212.4</v>
      </c>
    </row>
    <row r="1197" spans="2:4">
      <c r="B1197" s="144">
        <v>43497</v>
      </c>
      <c r="C1197" s="139">
        <v>0.70833333333333304</v>
      </c>
      <c r="D1197" s="3">
        <v>148.5</v>
      </c>
    </row>
    <row r="1198" spans="2:4">
      <c r="B1198" s="144">
        <v>43497</v>
      </c>
      <c r="C1198" s="139">
        <v>0.75</v>
      </c>
      <c r="D1198" s="3">
        <v>0</v>
      </c>
    </row>
    <row r="1199" spans="2:4">
      <c r="B1199" s="144">
        <v>43497</v>
      </c>
      <c r="C1199" s="139">
        <v>0.79166666666666696</v>
      </c>
      <c r="D1199" s="3">
        <v>0</v>
      </c>
    </row>
    <row r="1200" spans="2:4">
      <c r="B1200" s="144">
        <v>43497</v>
      </c>
      <c r="C1200" s="139">
        <v>0.83333333333333304</v>
      </c>
      <c r="D1200" s="3">
        <v>0</v>
      </c>
    </row>
    <row r="1201" spans="2:4">
      <c r="B1201" s="144">
        <v>43497</v>
      </c>
      <c r="C1201" s="139">
        <v>0.875</v>
      </c>
      <c r="D1201" s="3">
        <v>0</v>
      </c>
    </row>
    <row r="1202" spans="2:4">
      <c r="B1202" s="144">
        <v>43497</v>
      </c>
      <c r="C1202" s="139">
        <v>0.91666666666666696</v>
      </c>
      <c r="D1202" s="3">
        <v>0</v>
      </c>
    </row>
    <row r="1203" spans="2:4">
      <c r="B1203" s="144">
        <v>43497</v>
      </c>
      <c r="C1203" s="139">
        <v>0.95833333333333304</v>
      </c>
      <c r="D1203" s="3">
        <v>0</v>
      </c>
    </row>
    <row r="1204" spans="2:4">
      <c r="B1204" s="144">
        <v>43525</v>
      </c>
      <c r="C1204" s="139">
        <v>0</v>
      </c>
      <c r="D1204" s="3">
        <v>0</v>
      </c>
    </row>
    <row r="1205" spans="2:4">
      <c r="B1205" s="144">
        <v>43525</v>
      </c>
      <c r="C1205" s="139">
        <v>4.1666666666666664E-2</v>
      </c>
      <c r="D1205" s="3">
        <v>0</v>
      </c>
    </row>
    <row r="1206" spans="2:4">
      <c r="B1206" s="144">
        <v>43525</v>
      </c>
      <c r="C1206" s="139">
        <v>8.3333333333333301E-2</v>
      </c>
      <c r="D1206" s="3">
        <v>0</v>
      </c>
    </row>
    <row r="1207" spans="2:4">
      <c r="B1207" s="144">
        <v>43525</v>
      </c>
      <c r="C1207" s="139">
        <v>0.125</v>
      </c>
      <c r="D1207" s="3">
        <v>0</v>
      </c>
    </row>
    <row r="1208" spans="2:4">
      <c r="B1208" s="144">
        <v>43525</v>
      </c>
      <c r="C1208" s="139">
        <v>0.16666666666666699</v>
      </c>
      <c r="D1208" s="3">
        <v>0</v>
      </c>
    </row>
    <row r="1209" spans="2:4">
      <c r="B1209" s="144">
        <v>43525</v>
      </c>
      <c r="C1209" s="139">
        <v>0.20833333333333301</v>
      </c>
      <c r="D1209" s="3">
        <v>0</v>
      </c>
    </row>
    <row r="1210" spans="2:4">
      <c r="B1210" s="144">
        <v>43525</v>
      </c>
      <c r="C1210" s="139">
        <v>0.25</v>
      </c>
      <c r="D1210" s="3">
        <v>29</v>
      </c>
    </row>
    <row r="1211" spans="2:4">
      <c r="B1211" s="144">
        <v>43525</v>
      </c>
      <c r="C1211" s="139">
        <v>0.29166666666666702</v>
      </c>
      <c r="D1211" s="3">
        <v>175.7</v>
      </c>
    </row>
    <row r="1212" spans="2:4">
      <c r="B1212" s="144">
        <v>43525</v>
      </c>
      <c r="C1212" s="139">
        <v>0.33333333333333298</v>
      </c>
      <c r="D1212" s="3">
        <v>249.4</v>
      </c>
    </row>
    <row r="1213" spans="2:4">
      <c r="B1213" s="144">
        <v>43525</v>
      </c>
      <c r="C1213" s="139">
        <v>0.375</v>
      </c>
      <c r="D1213" s="3">
        <v>273.89999999999998</v>
      </c>
    </row>
    <row r="1214" spans="2:4">
      <c r="B1214" s="144">
        <v>43525</v>
      </c>
      <c r="C1214" s="139">
        <v>0.41666666666666702</v>
      </c>
      <c r="D1214" s="3">
        <v>260.8</v>
      </c>
    </row>
    <row r="1215" spans="2:4">
      <c r="B1215" s="144">
        <v>43525</v>
      </c>
      <c r="C1215" s="139">
        <v>0.45833333333333298</v>
      </c>
      <c r="D1215" s="3">
        <v>266.10000000000002</v>
      </c>
    </row>
    <row r="1216" spans="2:4">
      <c r="B1216" s="144">
        <v>43525</v>
      </c>
      <c r="C1216" s="139">
        <v>0.5</v>
      </c>
      <c r="D1216" s="3">
        <v>250</v>
      </c>
    </row>
    <row r="1217" spans="2:4">
      <c r="B1217" s="144">
        <v>43525</v>
      </c>
      <c r="C1217" s="139">
        <v>0.54166666666666696</v>
      </c>
      <c r="D1217" s="3">
        <v>288.8</v>
      </c>
    </row>
    <row r="1218" spans="2:4">
      <c r="B1218" s="144">
        <v>43525</v>
      </c>
      <c r="C1218" s="139">
        <v>0.58333333333333304</v>
      </c>
      <c r="D1218" s="3">
        <v>285</v>
      </c>
    </row>
    <row r="1219" spans="2:4">
      <c r="B1219" s="144">
        <v>43525</v>
      </c>
      <c r="C1219" s="139">
        <v>0.625</v>
      </c>
      <c r="D1219" s="3">
        <v>274.8</v>
      </c>
    </row>
    <row r="1220" spans="2:4">
      <c r="B1220" s="144">
        <v>43525</v>
      </c>
      <c r="C1220" s="139">
        <v>0.66666666666666696</v>
      </c>
      <c r="D1220" s="3">
        <v>227.2</v>
      </c>
    </row>
    <row r="1221" spans="2:4">
      <c r="B1221" s="144">
        <v>43525</v>
      </c>
      <c r="C1221" s="139">
        <v>0.70833333333333304</v>
      </c>
      <c r="D1221" s="3">
        <v>130.19999999999999</v>
      </c>
    </row>
    <row r="1222" spans="2:4">
      <c r="B1222" s="144">
        <v>43525</v>
      </c>
      <c r="C1222" s="139">
        <v>0.75</v>
      </c>
      <c r="D1222" s="3">
        <v>0</v>
      </c>
    </row>
    <row r="1223" spans="2:4">
      <c r="B1223" s="144">
        <v>43525</v>
      </c>
      <c r="C1223" s="139">
        <v>0.79166666666666696</v>
      </c>
      <c r="D1223" s="3">
        <v>0</v>
      </c>
    </row>
    <row r="1224" spans="2:4">
      <c r="B1224" s="144">
        <v>43525</v>
      </c>
      <c r="C1224" s="139">
        <v>0.83333333333333304</v>
      </c>
      <c r="D1224" s="3">
        <v>0</v>
      </c>
    </row>
    <row r="1225" spans="2:4">
      <c r="B1225" s="144">
        <v>43525</v>
      </c>
      <c r="C1225" s="139">
        <v>0.875</v>
      </c>
      <c r="D1225" s="3">
        <v>0</v>
      </c>
    </row>
    <row r="1226" spans="2:4">
      <c r="B1226" s="144">
        <v>43525</v>
      </c>
      <c r="C1226" s="139">
        <v>0.91666666666666696</v>
      </c>
      <c r="D1226" s="3">
        <v>0</v>
      </c>
    </row>
    <row r="1227" spans="2:4">
      <c r="B1227" s="144">
        <v>43525</v>
      </c>
      <c r="C1227" s="139">
        <v>0.95833333333333304</v>
      </c>
      <c r="D1227" s="3">
        <v>0</v>
      </c>
    </row>
    <row r="1228" spans="2:4">
      <c r="B1228" s="144">
        <v>43556</v>
      </c>
      <c r="C1228" s="139">
        <v>0</v>
      </c>
      <c r="D1228" s="3">
        <v>0</v>
      </c>
    </row>
    <row r="1229" spans="2:4">
      <c r="B1229" s="144">
        <v>43556</v>
      </c>
      <c r="C1229" s="139">
        <v>4.1666666666666664E-2</v>
      </c>
      <c r="D1229" s="3">
        <v>0</v>
      </c>
    </row>
    <row r="1230" spans="2:4">
      <c r="B1230" s="144">
        <v>43556</v>
      </c>
      <c r="C1230" s="139">
        <v>8.3333333333333301E-2</v>
      </c>
      <c r="D1230" s="3">
        <v>0</v>
      </c>
    </row>
    <row r="1231" spans="2:4">
      <c r="B1231" s="144">
        <v>43556</v>
      </c>
      <c r="C1231" s="139">
        <v>0.125</v>
      </c>
      <c r="D1231" s="3">
        <v>0</v>
      </c>
    </row>
    <row r="1232" spans="2:4">
      <c r="B1232" s="144">
        <v>43556</v>
      </c>
      <c r="C1232" s="139">
        <v>0.16666666666666699</v>
      </c>
      <c r="D1232" s="3">
        <v>0</v>
      </c>
    </row>
    <row r="1233" spans="2:4">
      <c r="B1233" s="144">
        <v>43556</v>
      </c>
      <c r="C1233" s="139">
        <v>0.20833333333333301</v>
      </c>
      <c r="D1233" s="3">
        <v>0</v>
      </c>
    </row>
    <row r="1234" spans="2:4">
      <c r="B1234" s="144">
        <v>43556</v>
      </c>
      <c r="C1234" s="139">
        <v>0.25</v>
      </c>
      <c r="D1234" s="3">
        <v>55.5</v>
      </c>
    </row>
    <row r="1235" spans="2:4">
      <c r="B1235" s="144">
        <v>43556</v>
      </c>
      <c r="C1235" s="139">
        <v>0.29166666666666702</v>
      </c>
      <c r="D1235" s="3">
        <v>209.1</v>
      </c>
    </row>
    <row r="1236" spans="2:4">
      <c r="B1236" s="144">
        <v>43556</v>
      </c>
      <c r="C1236" s="139">
        <v>0.33333333333333298</v>
      </c>
      <c r="D1236" s="3">
        <v>278.60000000000002</v>
      </c>
    </row>
    <row r="1237" spans="2:4">
      <c r="B1237" s="144">
        <v>43556</v>
      </c>
      <c r="C1237" s="139">
        <v>0.375</v>
      </c>
      <c r="D1237" s="3">
        <v>296.10000000000002</v>
      </c>
    </row>
    <row r="1238" spans="2:4">
      <c r="B1238" s="144">
        <v>43556</v>
      </c>
      <c r="C1238" s="139">
        <v>0.41666666666666702</v>
      </c>
      <c r="D1238" s="3">
        <v>296.8</v>
      </c>
    </row>
    <row r="1239" spans="2:4">
      <c r="B1239" s="144">
        <v>43556</v>
      </c>
      <c r="C1239" s="139">
        <v>0.45833333333333298</v>
      </c>
      <c r="D1239" s="3">
        <v>313</v>
      </c>
    </row>
    <row r="1240" spans="2:4">
      <c r="B1240" s="144">
        <v>43556</v>
      </c>
      <c r="C1240" s="139">
        <v>0.5</v>
      </c>
      <c r="D1240" s="3">
        <v>275.5</v>
      </c>
    </row>
    <row r="1241" spans="2:4">
      <c r="B1241" s="144">
        <v>43556</v>
      </c>
      <c r="C1241" s="139">
        <v>0.54166666666666696</v>
      </c>
      <c r="D1241" s="3">
        <v>259.10000000000002</v>
      </c>
    </row>
    <row r="1242" spans="2:4">
      <c r="B1242" s="144">
        <v>43556</v>
      </c>
      <c r="C1242" s="139">
        <v>0.58333333333333304</v>
      </c>
      <c r="D1242" s="3">
        <v>266.7</v>
      </c>
    </row>
    <row r="1243" spans="2:4">
      <c r="B1243" s="144">
        <v>43556</v>
      </c>
      <c r="C1243" s="139">
        <v>0.625</v>
      </c>
      <c r="D1243" s="3">
        <v>250</v>
      </c>
    </row>
    <row r="1244" spans="2:4">
      <c r="B1244" s="144">
        <v>43556</v>
      </c>
      <c r="C1244" s="139">
        <v>0.66666666666666696</v>
      </c>
      <c r="D1244" s="3">
        <v>218.5</v>
      </c>
    </row>
    <row r="1245" spans="2:4">
      <c r="B1245" s="144">
        <v>43556</v>
      </c>
      <c r="C1245" s="139">
        <v>0.70833333333333304</v>
      </c>
      <c r="D1245" s="3">
        <v>88.1</v>
      </c>
    </row>
    <row r="1246" spans="2:4">
      <c r="B1246" s="144">
        <v>43556</v>
      </c>
      <c r="C1246" s="139">
        <v>0.75</v>
      </c>
      <c r="D1246" s="3">
        <v>0</v>
      </c>
    </row>
    <row r="1247" spans="2:4">
      <c r="B1247" s="144">
        <v>43556</v>
      </c>
      <c r="C1247" s="139">
        <v>0.79166666666666696</v>
      </c>
      <c r="D1247" s="3">
        <v>0</v>
      </c>
    </row>
    <row r="1248" spans="2:4">
      <c r="B1248" s="144">
        <v>43556</v>
      </c>
      <c r="C1248" s="139">
        <v>0.83333333333333304</v>
      </c>
      <c r="D1248" s="3">
        <v>0</v>
      </c>
    </row>
    <row r="1249" spans="2:4">
      <c r="B1249" s="144">
        <v>43556</v>
      </c>
      <c r="C1249" s="139">
        <v>0.875</v>
      </c>
      <c r="D1249" s="3">
        <v>0</v>
      </c>
    </row>
    <row r="1250" spans="2:4">
      <c r="B1250" s="144">
        <v>43556</v>
      </c>
      <c r="C1250" s="139">
        <v>0.91666666666666696</v>
      </c>
      <c r="D1250" s="3">
        <v>0</v>
      </c>
    </row>
    <row r="1251" spans="2:4">
      <c r="B1251" s="144">
        <v>43556</v>
      </c>
      <c r="C1251" s="139">
        <v>0.95833333333333304</v>
      </c>
      <c r="D1251" s="3">
        <v>0</v>
      </c>
    </row>
    <row r="1252" spans="2:4">
      <c r="B1252" s="144">
        <v>43586</v>
      </c>
      <c r="C1252" s="139">
        <v>0</v>
      </c>
      <c r="D1252" s="3">
        <v>0</v>
      </c>
    </row>
    <row r="1253" spans="2:4">
      <c r="B1253" s="144">
        <v>43586</v>
      </c>
      <c r="C1253" s="139">
        <v>4.1666666666666664E-2</v>
      </c>
      <c r="D1253" s="3">
        <v>0</v>
      </c>
    </row>
    <row r="1254" spans="2:4">
      <c r="B1254" s="144">
        <v>43586</v>
      </c>
      <c r="C1254" s="139">
        <v>8.3333333333333301E-2</v>
      </c>
      <c r="D1254" s="3">
        <v>0</v>
      </c>
    </row>
    <row r="1255" spans="2:4">
      <c r="B1255" s="144">
        <v>43586</v>
      </c>
      <c r="C1255" s="139">
        <v>0.125</v>
      </c>
      <c r="D1255" s="3">
        <v>0</v>
      </c>
    </row>
    <row r="1256" spans="2:4">
      <c r="B1256" s="144">
        <v>43586</v>
      </c>
      <c r="C1256" s="139">
        <v>0.16666666666666699</v>
      </c>
      <c r="D1256" s="3">
        <v>0</v>
      </c>
    </row>
    <row r="1257" spans="2:4">
      <c r="B1257" s="144">
        <v>43586</v>
      </c>
      <c r="C1257" s="139">
        <v>0.20833333333333301</v>
      </c>
      <c r="D1257" s="3">
        <v>0</v>
      </c>
    </row>
    <row r="1258" spans="2:4">
      <c r="B1258" s="144">
        <v>43586</v>
      </c>
      <c r="C1258" s="139">
        <v>0.25</v>
      </c>
      <c r="D1258" s="3">
        <v>83.6</v>
      </c>
    </row>
    <row r="1259" spans="2:4">
      <c r="B1259" s="144">
        <v>43586</v>
      </c>
      <c r="C1259" s="139">
        <v>0.29166666666666702</v>
      </c>
      <c r="D1259" s="3">
        <v>224.3</v>
      </c>
    </row>
    <row r="1260" spans="2:4">
      <c r="B1260" s="144">
        <v>43586</v>
      </c>
      <c r="C1260" s="139">
        <v>0.33333333333333298</v>
      </c>
      <c r="D1260" s="3">
        <v>283.3</v>
      </c>
    </row>
    <row r="1261" spans="2:4">
      <c r="B1261" s="144">
        <v>43586</v>
      </c>
      <c r="C1261" s="139">
        <v>0.375</v>
      </c>
      <c r="D1261" s="3">
        <v>289.39999999999998</v>
      </c>
    </row>
    <row r="1262" spans="2:4">
      <c r="B1262" s="144">
        <v>43586</v>
      </c>
      <c r="C1262" s="139">
        <v>0.41666666666666702</v>
      </c>
      <c r="D1262" s="3">
        <v>282.8</v>
      </c>
    </row>
    <row r="1263" spans="2:4">
      <c r="B1263" s="144">
        <v>43586</v>
      </c>
      <c r="C1263" s="139">
        <v>0.45833333333333298</v>
      </c>
      <c r="D1263" s="3">
        <v>286.60000000000002</v>
      </c>
    </row>
    <row r="1264" spans="2:4">
      <c r="B1264" s="144">
        <v>43586</v>
      </c>
      <c r="C1264" s="139">
        <v>0.5</v>
      </c>
      <c r="D1264" s="3">
        <v>270.5</v>
      </c>
    </row>
    <row r="1265" spans="2:4">
      <c r="B1265" s="144">
        <v>43586</v>
      </c>
      <c r="C1265" s="139">
        <v>0.54166666666666696</v>
      </c>
      <c r="D1265" s="3">
        <v>266.10000000000002</v>
      </c>
    </row>
    <row r="1266" spans="2:4">
      <c r="B1266" s="144">
        <v>43586</v>
      </c>
      <c r="C1266" s="139">
        <v>0.58333333333333304</v>
      </c>
      <c r="D1266" s="3">
        <v>246</v>
      </c>
    </row>
    <row r="1267" spans="2:4">
      <c r="B1267" s="144">
        <v>43586</v>
      </c>
      <c r="C1267" s="139">
        <v>0.625</v>
      </c>
      <c r="D1267" s="3">
        <v>224</v>
      </c>
    </row>
    <row r="1268" spans="2:4">
      <c r="B1268" s="144">
        <v>43586</v>
      </c>
      <c r="C1268" s="139">
        <v>0.66666666666666696</v>
      </c>
      <c r="D1268" s="3">
        <v>205.8</v>
      </c>
    </row>
    <row r="1269" spans="2:4">
      <c r="B1269" s="144">
        <v>43586</v>
      </c>
      <c r="C1269" s="139">
        <v>0.70833333333333304</v>
      </c>
      <c r="D1269" s="3">
        <v>89.4</v>
      </c>
    </row>
    <row r="1270" spans="2:4">
      <c r="B1270" s="144">
        <v>43586</v>
      </c>
      <c r="C1270" s="139">
        <v>0.75</v>
      </c>
      <c r="D1270" s="3">
        <v>0</v>
      </c>
    </row>
    <row r="1271" spans="2:4">
      <c r="B1271" s="144">
        <v>43586</v>
      </c>
      <c r="C1271" s="139">
        <v>0.79166666666666696</v>
      </c>
      <c r="D1271" s="3">
        <v>0</v>
      </c>
    </row>
    <row r="1272" spans="2:4">
      <c r="B1272" s="144">
        <v>43586</v>
      </c>
      <c r="C1272" s="139">
        <v>0.83333333333333304</v>
      </c>
      <c r="D1272" s="3">
        <v>0</v>
      </c>
    </row>
    <row r="1273" spans="2:4">
      <c r="B1273" s="144">
        <v>43586</v>
      </c>
      <c r="C1273" s="139">
        <v>0.875</v>
      </c>
      <c r="D1273" s="3">
        <v>0</v>
      </c>
    </row>
    <row r="1274" spans="2:4">
      <c r="B1274" s="144">
        <v>43586</v>
      </c>
      <c r="C1274" s="139">
        <v>0.91666666666666696</v>
      </c>
      <c r="D1274" s="3">
        <v>0</v>
      </c>
    </row>
    <row r="1275" spans="2:4">
      <c r="B1275" s="144">
        <v>43586</v>
      </c>
      <c r="C1275" s="139">
        <v>0.95833333333333304</v>
      </c>
      <c r="D1275" s="3">
        <v>0</v>
      </c>
    </row>
    <row r="1276" spans="2:4">
      <c r="B1276" s="144">
        <v>43617</v>
      </c>
      <c r="C1276" s="139">
        <v>0</v>
      </c>
      <c r="D1276" s="3">
        <v>0</v>
      </c>
    </row>
    <row r="1277" spans="2:4">
      <c r="B1277" s="144">
        <v>43617</v>
      </c>
      <c r="C1277" s="139">
        <v>4.1666666666666664E-2</v>
      </c>
      <c r="D1277" s="3">
        <v>0</v>
      </c>
    </row>
    <row r="1278" spans="2:4">
      <c r="B1278" s="144">
        <v>43617</v>
      </c>
      <c r="C1278" s="139">
        <v>8.3333333333333301E-2</v>
      </c>
      <c r="D1278" s="3">
        <v>0</v>
      </c>
    </row>
    <row r="1279" spans="2:4">
      <c r="B1279" s="144">
        <v>43617</v>
      </c>
      <c r="C1279" s="139">
        <v>0.125</v>
      </c>
      <c r="D1279" s="3">
        <v>0</v>
      </c>
    </row>
    <row r="1280" spans="2:4">
      <c r="B1280" s="144">
        <v>43617</v>
      </c>
      <c r="C1280" s="139">
        <v>0.16666666666666699</v>
      </c>
      <c r="D1280" s="3">
        <v>0</v>
      </c>
    </row>
    <row r="1281" spans="2:4">
      <c r="B1281" s="144">
        <v>43617</v>
      </c>
      <c r="C1281" s="139">
        <v>0.20833333333333301</v>
      </c>
      <c r="D1281" s="3">
        <v>0</v>
      </c>
    </row>
    <row r="1282" spans="2:4">
      <c r="B1282" s="144">
        <v>43617</v>
      </c>
      <c r="C1282" s="139">
        <v>0.25</v>
      </c>
      <c r="D1282" s="3">
        <v>58.4</v>
      </c>
    </row>
    <row r="1283" spans="2:4">
      <c r="B1283" s="144">
        <v>43617</v>
      </c>
      <c r="C1283" s="139">
        <v>0.29166666666666702</v>
      </c>
      <c r="D1283" s="3">
        <v>211.4</v>
      </c>
    </row>
    <row r="1284" spans="2:4">
      <c r="B1284" s="144">
        <v>43617</v>
      </c>
      <c r="C1284" s="139">
        <v>0.33333333333333298</v>
      </c>
      <c r="D1284" s="3">
        <v>253.1</v>
      </c>
    </row>
    <row r="1285" spans="2:4">
      <c r="B1285" s="144">
        <v>43617</v>
      </c>
      <c r="C1285" s="139">
        <v>0.375</v>
      </c>
      <c r="D1285" s="3">
        <v>262.2</v>
      </c>
    </row>
    <row r="1286" spans="2:4">
      <c r="B1286" s="144">
        <v>43617</v>
      </c>
      <c r="C1286" s="139">
        <v>0.41666666666666702</v>
      </c>
      <c r="D1286" s="3">
        <v>260.2</v>
      </c>
    </row>
    <row r="1287" spans="2:4">
      <c r="B1287" s="144">
        <v>43617</v>
      </c>
      <c r="C1287" s="139">
        <v>0.45833333333333298</v>
      </c>
      <c r="D1287" s="3">
        <v>259.7</v>
      </c>
    </row>
    <row r="1288" spans="2:4">
      <c r="B1288" s="144">
        <v>43617</v>
      </c>
      <c r="C1288" s="139">
        <v>0.5</v>
      </c>
      <c r="D1288" s="3">
        <v>269.10000000000002</v>
      </c>
    </row>
    <row r="1289" spans="2:4">
      <c r="B1289" s="144">
        <v>43617</v>
      </c>
      <c r="C1289" s="139">
        <v>0.54166666666666696</v>
      </c>
      <c r="D1289" s="3">
        <v>243.3</v>
      </c>
    </row>
    <row r="1290" spans="2:4">
      <c r="B1290" s="144">
        <v>43617</v>
      </c>
      <c r="C1290" s="139">
        <v>0.58333333333333304</v>
      </c>
      <c r="D1290" s="3">
        <v>220.1</v>
      </c>
    </row>
    <row r="1291" spans="2:4">
      <c r="B1291" s="144">
        <v>43617</v>
      </c>
      <c r="C1291" s="139">
        <v>0.625</v>
      </c>
      <c r="D1291" s="3">
        <v>204.8</v>
      </c>
    </row>
    <row r="1292" spans="2:4">
      <c r="B1292" s="144">
        <v>43617</v>
      </c>
      <c r="C1292" s="139">
        <v>0.66666666666666696</v>
      </c>
      <c r="D1292" s="3">
        <v>192.5</v>
      </c>
    </row>
    <row r="1293" spans="2:4">
      <c r="B1293" s="144">
        <v>43617</v>
      </c>
      <c r="C1293" s="139">
        <v>0.70833333333333304</v>
      </c>
      <c r="D1293" s="3">
        <v>80.8</v>
      </c>
    </row>
    <row r="1294" spans="2:4">
      <c r="B1294" s="144">
        <v>43617</v>
      </c>
      <c r="C1294" s="139">
        <v>0.75</v>
      </c>
      <c r="D1294" s="3">
        <v>0</v>
      </c>
    </row>
    <row r="1295" spans="2:4">
      <c r="B1295" s="144">
        <v>43617</v>
      </c>
      <c r="C1295" s="139">
        <v>0.79166666666666696</v>
      </c>
      <c r="D1295" s="3">
        <v>0</v>
      </c>
    </row>
    <row r="1296" spans="2:4">
      <c r="B1296" s="144">
        <v>43617</v>
      </c>
      <c r="C1296" s="139">
        <v>0.83333333333333304</v>
      </c>
      <c r="D1296" s="3">
        <v>0</v>
      </c>
    </row>
    <row r="1297" spans="2:4">
      <c r="B1297" s="144">
        <v>43617</v>
      </c>
      <c r="C1297" s="139">
        <v>0.875</v>
      </c>
      <c r="D1297" s="3">
        <v>0</v>
      </c>
    </row>
    <row r="1298" spans="2:4">
      <c r="B1298" s="144">
        <v>43617</v>
      </c>
      <c r="C1298" s="139">
        <v>0.91666666666666696</v>
      </c>
      <c r="D1298" s="3">
        <v>0</v>
      </c>
    </row>
    <row r="1299" spans="2:4">
      <c r="B1299" s="144">
        <v>43617</v>
      </c>
      <c r="C1299" s="139">
        <v>0.95833333333333304</v>
      </c>
      <c r="D1299" s="3">
        <v>0</v>
      </c>
    </row>
    <row r="1300" spans="2:4">
      <c r="B1300" s="144">
        <v>43647</v>
      </c>
      <c r="C1300" s="139">
        <v>0</v>
      </c>
      <c r="D1300" s="3">
        <v>0</v>
      </c>
    </row>
    <row r="1301" spans="2:4">
      <c r="B1301" s="144">
        <v>43647</v>
      </c>
      <c r="C1301" s="139">
        <v>4.1666666666666664E-2</v>
      </c>
      <c r="D1301" s="3">
        <v>0</v>
      </c>
    </row>
    <row r="1302" spans="2:4">
      <c r="B1302" s="144">
        <v>43647</v>
      </c>
      <c r="C1302" s="139">
        <v>8.3333333333333301E-2</v>
      </c>
      <c r="D1302" s="3">
        <v>0</v>
      </c>
    </row>
    <row r="1303" spans="2:4">
      <c r="B1303" s="144">
        <v>43647</v>
      </c>
      <c r="C1303" s="139">
        <v>0.125</v>
      </c>
      <c r="D1303" s="3">
        <v>0</v>
      </c>
    </row>
    <row r="1304" spans="2:4">
      <c r="B1304" s="144">
        <v>43647</v>
      </c>
      <c r="C1304" s="139">
        <v>0.16666666666666699</v>
      </c>
      <c r="D1304" s="3">
        <v>0</v>
      </c>
    </row>
    <row r="1305" spans="2:4">
      <c r="B1305" s="144">
        <v>43647</v>
      </c>
      <c r="C1305" s="139">
        <v>0.20833333333333301</v>
      </c>
      <c r="D1305" s="3">
        <v>0</v>
      </c>
    </row>
    <row r="1306" spans="2:4">
      <c r="B1306" s="144">
        <v>43647</v>
      </c>
      <c r="C1306" s="139">
        <v>0.25</v>
      </c>
      <c r="D1306" s="3">
        <v>34.200000000000003</v>
      </c>
    </row>
    <row r="1307" spans="2:4">
      <c r="B1307" s="144">
        <v>43647</v>
      </c>
      <c r="C1307" s="139">
        <v>0.29166666666666702</v>
      </c>
      <c r="D1307" s="3">
        <v>202.1</v>
      </c>
    </row>
    <row r="1308" spans="2:4">
      <c r="B1308" s="144">
        <v>43647</v>
      </c>
      <c r="C1308" s="139">
        <v>0.33333333333333298</v>
      </c>
      <c r="D1308" s="3">
        <v>258.89999999999998</v>
      </c>
    </row>
    <row r="1309" spans="2:4">
      <c r="B1309" s="144">
        <v>43647</v>
      </c>
      <c r="C1309" s="139">
        <v>0.375</v>
      </c>
      <c r="D1309" s="3">
        <v>252.9</v>
      </c>
    </row>
    <row r="1310" spans="2:4">
      <c r="B1310" s="144">
        <v>43647</v>
      </c>
      <c r="C1310" s="139">
        <v>0.41666666666666702</v>
      </c>
      <c r="D1310" s="3">
        <v>241.5</v>
      </c>
    </row>
    <row r="1311" spans="2:4">
      <c r="B1311" s="144">
        <v>43647</v>
      </c>
      <c r="C1311" s="139">
        <v>0.45833333333333298</v>
      </c>
      <c r="D1311" s="3">
        <v>261.7</v>
      </c>
    </row>
    <row r="1312" spans="2:4">
      <c r="B1312" s="144">
        <v>43647</v>
      </c>
      <c r="C1312" s="139">
        <v>0.5</v>
      </c>
      <c r="D1312" s="3">
        <v>267</v>
      </c>
    </row>
    <row r="1313" spans="2:4">
      <c r="B1313" s="144">
        <v>43647</v>
      </c>
      <c r="C1313" s="139">
        <v>0.54166666666666696</v>
      </c>
      <c r="D1313" s="3">
        <v>258.5</v>
      </c>
    </row>
    <row r="1314" spans="2:4">
      <c r="B1314" s="144">
        <v>43647</v>
      </c>
      <c r="C1314" s="139">
        <v>0.58333333333333304</v>
      </c>
      <c r="D1314" s="3">
        <v>248.8</v>
      </c>
    </row>
    <row r="1315" spans="2:4">
      <c r="B1315" s="144">
        <v>43647</v>
      </c>
      <c r="C1315" s="139">
        <v>0.625</v>
      </c>
      <c r="D1315" s="3">
        <v>231.9</v>
      </c>
    </row>
    <row r="1316" spans="2:4">
      <c r="B1316" s="144">
        <v>43647</v>
      </c>
      <c r="C1316" s="139">
        <v>0.66666666666666696</v>
      </c>
      <c r="D1316" s="3">
        <v>213.9</v>
      </c>
    </row>
    <row r="1317" spans="2:4">
      <c r="B1317" s="144">
        <v>43647</v>
      </c>
      <c r="C1317" s="139">
        <v>0.70833333333333304</v>
      </c>
      <c r="D1317" s="3">
        <v>128.5</v>
      </c>
    </row>
    <row r="1318" spans="2:4">
      <c r="B1318" s="144">
        <v>43647</v>
      </c>
      <c r="C1318" s="139">
        <v>0.75</v>
      </c>
      <c r="D1318" s="3">
        <v>0</v>
      </c>
    </row>
    <row r="1319" spans="2:4">
      <c r="B1319" s="144">
        <v>43647</v>
      </c>
      <c r="C1319" s="139">
        <v>0.79166666666666696</v>
      </c>
      <c r="D1319" s="3">
        <v>0</v>
      </c>
    </row>
    <row r="1320" spans="2:4">
      <c r="B1320" s="144">
        <v>43647</v>
      </c>
      <c r="C1320" s="139">
        <v>0.83333333333333304</v>
      </c>
      <c r="D1320" s="3">
        <v>0</v>
      </c>
    </row>
    <row r="1321" spans="2:4">
      <c r="B1321" s="144">
        <v>43647</v>
      </c>
      <c r="C1321" s="139">
        <v>0.875</v>
      </c>
      <c r="D1321" s="3">
        <v>0</v>
      </c>
    </row>
    <row r="1322" spans="2:4">
      <c r="B1322" s="144">
        <v>43647</v>
      </c>
      <c r="C1322" s="139">
        <v>0.91666666666666696</v>
      </c>
      <c r="D1322" s="3">
        <v>0</v>
      </c>
    </row>
    <row r="1323" spans="2:4">
      <c r="B1323" s="144">
        <v>43647</v>
      </c>
      <c r="C1323" s="139">
        <v>0.95833333333333304</v>
      </c>
      <c r="D1323" s="3">
        <v>0</v>
      </c>
    </row>
    <row r="1324" spans="2:4">
      <c r="B1324" s="144">
        <v>43678</v>
      </c>
      <c r="C1324" s="139">
        <v>0</v>
      </c>
      <c r="D1324" s="3">
        <v>0</v>
      </c>
    </row>
    <row r="1325" spans="2:4">
      <c r="B1325" s="144">
        <v>43678</v>
      </c>
      <c r="C1325" s="139">
        <v>4.1666666666666664E-2</v>
      </c>
      <c r="D1325" s="3">
        <v>0</v>
      </c>
    </row>
    <row r="1326" spans="2:4">
      <c r="B1326" s="144">
        <v>43678</v>
      </c>
      <c r="C1326" s="139">
        <v>8.3333333333333301E-2</v>
      </c>
      <c r="D1326" s="3">
        <v>0</v>
      </c>
    </row>
    <row r="1327" spans="2:4">
      <c r="B1327" s="144">
        <v>43678</v>
      </c>
      <c r="C1327" s="139">
        <v>0.125</v>
      </c>
      <c r="D1327" s="3">
        <v>0</v>
      </c>
    </row>
    <row r="1328" spans="2:4">
      <c r="B1328" s="144">
        <v>43678</v>
      </c>
      <c r="C1328" s="139">
        <v>0.16666666666666699</v>
      </c>
      <c r="D1328" s="3">
        <v>0</v>
      </c>
    </row>
    <row r="1329" spans="2:4">
      <c r="B1329" s="144">
        <v>43678</v>
      </c>
      <c r="C1329" s="139">
        <v>0.20833333333333301</v>
      </c>
      <c r="D1329" s="3">
        <v>0</v>
      </c>
    </row>
    <row r="1330" spans="2:4">
      <c r="B1330" s="144">
        <v>43678</v>
      </c>
      <c r="C1330" s="139">
        <v>0.25</v>
      </c>
      <c r="D1330" s="3">
        <v>33.1</v>
      </c>
    </row>
    <row r="1331" spans="2:4">
      <c r="B1331" s="144">
        <v>43678</v>
      </c>
      <c r="C1331" s="139">
        <v>0.29166666666666702</v>
      </c>
      <c r="D1331" s="3">
        <v>198.4</v>
      </c>
    </row>
    <row r="1332" spans="2:4">
      <c r="B1332" s="144">
        <v>43678</v>
      </c>
      <c r="C1332" s="139">
        <v>0.33333333333333298</v>
      </c>
      <c r="D1332" s="3">
        <v>260.5</v>
      </c>
    </row>
    <row r="1333" spans="2:4">
      <c r="B1333" s="144">
        <v>43678</v>
      </c>
      <c r="C1333" s="139">
        <v>0.375</v>
      </c>
      <c r="D1333" s="3">
        <v>242.9</v>
      </c>
    </row>
    <row r="1334" spans="2:4">
      <c r="B1334" s="144">
        <v>43678</v>
      </c>
      <c r="C1334" s="139">
        <v>0.41666666666666702</v>
      </c>
      <c r="D1334" s="3">
        <v>228.4</v>
      </c>
    </row>
    <row r="1335" spans="2:4">
      <c r="B1335" s="144">
        <v>43678</v>
      </c>
      <c r="C1335" s="139">
        <v>0.45833333333333298</v>
      </c>
      <c r="D1335" s="3">
        <v>234.3</v>
      </c>
    </row>
    <row r="1336" spans="2:4">
      <c r="B1336" s="144">
        <v>43678</v>
      </c>
      <c r="C1336" s="139">
        <v>0.5</v>
      </c>
      <c r="D1336" s="3">
        <v>228</v>
      </c>
    </row>
    <row r="1337" spans="2:4">
      <c r="B1337" s="144">
        <v>43678</v>
      </c>
      <c r="C1337" s="139">
        <v>0.54166666666666696</v>
      </c>
      <c r="D1337" s="3">
        <v>230.9</v>
      </c>
    </row>
    <row r="1338" spans="2:4">
      <c r="B1338" s="144">
        <v>43678</v>
      </c>
      <c r="C1338" s="139">
        <v>0.58333333333333304</v>
      </c>
      <c r="D1338" s="3">
        <v>239.2</v>
      </c>
    </row>
    <row r="1339" spans="2:4">
      <c r="B1339" s="144">
        <v>43678</v>
      </c>
      <c r="C1339" s="139">
        <v>0.625</v>
      </c>
      <c r="D1339" s="3">
        <v>248.3</v>
      </c>
    </row>
    <row r="1340" spans="2:4">
      <c r="B1340" s="144">
        <v>43678</v>
      </c>
      <c r="C1340" s="139">
        <v>0.66666666666666696</v>
      </c>
      <c r="D1340" s="3">
        <v>229.2</v>
      </c>
    </row>
    <row r="1341" spans="2:4">
      <c r="B1341" s="144">
        <v>43678</v>
      </c>
      <c r="C1341" s="139">
        <v>0.70833333333333304</v>
      </c>
      <c r="D1341" s="3">
        <v>132.4</v>
      </c>
    </row>
    <row r="1342" spans="2:4">
      <c r="B1342" s="144">
        <v>43678</v>
      </c>
      <c r="C1342" s="139">
        <v>0.75</v>
      </c>
      <c r="D1342" s="3">
        <v>0</v>
      </c>
    </row>
    <row r="1343" spans="2:4">
      <c r="B1343" s="144">
        <v>43678</v>
      </c>
      <c r="C1343" s="139">
        <v>0.79166666666666696</v>
      </c>
      <c r="D1343" s="3">
        <v>0</v>
      </c>
    </row>
    <row r="1344" spans="2:4">
      <c r="B1344" s="144">
        <v>43678</v>
      </c>
      <c r="C1344" s="139">
        <v>0.83333333333333304</v>
      </c>
      <c r="D1344" s="3">
        <v>0</v>
      </c>
    </row>
    <row r="1345" spans="2:4">
      <c r="B1345" s="144">
        <v>43678</v>
      </c>
      <c r="C1345" s="139">
        <v>0.875</v>
      </c>
      <c r="D1345" s="3">
        <v>0</v>
      </c>
    </row>
    <row r="1346" spans="2:4">
      <c r="B1346" s="144">
        <v>43678</v>
      </c>
      <c r="C1346" s="139">
        <v>0.91666666666666696</v>
      </c>
      <c r="D1346" s="3">
        <v>0</v>
      </c>
    </row>
    <row r="1347" spans="2:4">
      <c r="B1347" s="144">
        <v>43678</v>
      </c>
      <c r="C1347" s="139">
        <v>0.95833333333333304</v>
      </c>
      <c r="D1347" s="3">
        <v>0</v>
      </c>
    </row>
    <row r="1348" spans="2:4">
      <c r="B1348" s="144">
        <v>43709</v>
      </c>
      <c r="C1348" s="139">
        <v>0</v>
      </c>
      <c r="D1348" s="3">
        <v>0</v>
      </c>
    </row>
    <row r="1349" spans="2:4">
      <c r="B1349" s="144">
        <v>43709</v>
      </c>
      <c r="C1349" s="139">
        <v>4.1666666666666664E-2</v>
      </c>
      <c r="D1349" s="3">
        <v>0</v>
      </c>
    </row>
    <row r="1350" spans="2:4">
      <c r="B1350" s="144">
        <v>43709</v>
      </c>
      <c r="C1350" s="139">
        <v>8.3333333333333301E-2</v>
      </c>
      <c r="D1350" s="3">
        <v>0</v>
      </c>
    </row>
    <row r="1351" spans="2:4">
      <c r="B1351" s="144">
        <v>43709</v>
      </c>
      <c r="C1351" s="139">
        <v>0.125</v>
      </c>
      <c r="D1351" s="3">
        <v>0</v>
      </c>
    </row>
    <row r="1352" spans="2:4">
      <c r="B1352" s="144">
        <v>43709</v>
      </c>
      <c r="C1352" s="139">
        <v>0.16666666666666699</v>
      </c>
      <c r="D1352" s="3">
        <v>0</v>
      </c>
    </row>
    <row r="1353" spans="2:4">
      <c r="B1353" s="144">
        <v>43709</v>
      </c>
      <c r="C1353" s="139">
        <v>0.20833333333333301</v>
      </c>
      <c r="D1353" s="3">
        <v>0</v>
      </c>
    </row>
    <row r="1354" spans="2:4">
      <c r="B1354" s="144">
        <v>43709</v>
      </c>
      <c r="C1354" s="139">
        <v>0.25</v>
      </c>
      <c r="D1354" s="3">
        <v>66.5</v>
      </c>
    </row>
    <row r="1355" spans="2:4">
      <c r="B1355" s="144">
        <v>43709</v>
      </c>
      <c r="C1355" s="139">
        <v>0.29166666666666702</v>
      </c>
      <c r="D1355" s="3">
        <v>191.6</v>
      </c>
    </row>
    <row r="1356" spans="2:4">
      <c r="B1356" s="144">
        <v>43709</v>
      </c>
      <c r="C1356" s="139">
        <v>0.33333333333333298</v>
      </c>
      <c r="D1356" s="3">
        <v>248.9</v>
      </c>
    </row>
    <row r="1357" spans="2:4">
      <c r="B1357" s="144">
        <v>43709</v>
      </c>
      <c r="C1357" s="139">
        <v>0.375</v>
      </c>
      <c r="D1357" s="3">
        <v>237.6</v>
      </c>
    </row>
    <row r="1358" spans="2:4">
      <c r="B1358" s="144">
        <v>43709</v>
      </c>
      <c r="C1358" s="139">
        <v>0.41666666666666702</v>
      </c>
      <c r="D1358" s="3">
        <v>236.6</v>
      </c>
    </row>
    <row r="1359" spans="2:4">
      <c r="B1359" s="144">
        <v>43709</v>
      </c>
      <c r="C1359" s="139">
        <v>0.45833333333333298</v>
      </c>
      <c r="D1359" s="3">
        <v>262.60000000000002</v>
      </c>
    </row>
    <row r="1360" spans="2:4">
      <c r="B1360" s="144">
        <v>43709</v>
      </c>
      <c r="C1360" s="139">
        <v>0.5</v>
      </c>
      <c r="D1360" s="3">
        <v>258.10000000000002</v>
      </c>
    </row>
    <row r="1361" spans="2:4">
      <c r="B1361" s="144">
        <v>43709</v>
      </c>
      <c r="C1361" s="139">
        <v>0.54166666666666696</v>
      </c>
      <c r="D1361" s="3">
        <v>279.60000000000002</v>
      </c>
    </row>
    <row r="1362" spans="2:4">
      <c r="B1362" s="144">
        <v>43709</v>
      </c>
      <c r="C1362" s="139">
        <v>0.58333333333333304</v>
      </c>
      <c r="D1362" s="3">
        <v>261.2</v>
      </c>
    </row>
    <row r="1363" spans="2:4">
      <c r="B1363" s="144">
        <v>43709</v>
      </c>
      <c r="C1363" s="139">
        <v>0.625</v>
      </c>
      <c r="D1363" s="3">
        <v>240.7</v>
      </c>
    </row>
    <row r="1364" spans="2:4">
      <c r="B1364" s="144">
        <v>43709</v>
      </c>
      <c r="C1364" s="139">
        <v>0.66666666666666696</v>
      </c>
      <c r="D1364" s="3">
        <v>192</v>
      </c>
    </row>
    <row r="1365" spans="2:4">
      <c r="B1365" s="144">
        <v>43709</v>
      </c>
      <c r="C1365" s="139">
        <v>0.70833333333333304</v>
      </c>
      <c r="D1365" s="3">
        <v>69.599999999999994</v>
      </c>
    </row>
    <row r="1366" spans="2:4">
      <c r="B1366" s="144">
        <v>43709</v>
      </c>
      <c r="C1366" s="139">
        <v>0.75</v>
      </c>
      <c r="D1366" s="3">
        <v>0</v>
      </c>
    </row>
    <row r="1367" spans="2:4">
      <c r="B1367" s="144">
        <v>43709</v>
      </c>
      <c r="C1367" s="139">
        <v>0.79166666666666696</v>
      </c>
      <c r="D1367" s="3">
        <v>0</v>
      </c>
    </row>
    <row r="1368" spans="2:4">
      <c r="B1368" s="144">
        <v>43709</v>
      </c>
      <c r="C1368" s="139">
        <v>0.83333333333333304</v>
      </c>
      <c r="D1368" s="3">
        <v>0</v>
      </c>
    </row>
    <row r="1369" spans="2:4">
      <c r="B1369" s="144">
        <v>43709</v>
      </c>
      <c r="C1369" s="139">
        <v>0.875</v>
      </c>
      <c r="D1369" s="3">
        <v>0</v>
      </c>
    </row>
    <row r="1370" spans="2:4">
      <c r="B1370" s="144">
        <v>43709</v>
      </c>
      <c r="C1370" s="139">
        <v>0.91666666666666696</v>
      </c>
      <c r="D1370" s="3">
        <v>0</v>
      </c>
    </row>
    <row r="1371" spans="2:4">
      <c r="B1371" s="144">
        <v>43709</v>
      </c>
      <c r="C1371" s="139">
        <v>0.95833333333333304</v>
      </c>
      <c r="D1371" s="3">
        <v>0</v>
      </c>
    </row>
    <row r="1372" spans="2:4">
      <c r="B1372" s="144">
        <v>43739</v>
      </c>
      <c r="C1372" s="139">
        <v>0</v>
      </c>
      <c r="D1372" s="3">
        <v>0</v>
      </c>
    </row>
    <row r="1373" spans="2:4">
      <c r="B1373" s="144">
        <v>43739</v>
      </c>
      <c r="C1373" s="139">
        <v>4.1666666666666664E-2</v>
      </c>
      <c r="D1373" s="3">
        <v>0</v>
      </c>
    </row>
    <row r="1374" spans="2:4">
      <c r="B1374" s="144">
        <v>43739</v>
      </c>
      <c r="C1374" s="139">
        <v>8.3333333333333301E-2</v>
      </c>
      <c r="D1374" s="3">
        <v>0</v>
      </c>
    </row>
    <row r="1375" spans="2:4">
      <c r="B1375" s="144">
        <v>43739</v>
      </c>
      <c r="C1375" s="139">
        <v>0.125</v>
      </c>
      <c r="D1375" s="3">
        <v>0</v>
      </c>
    </row>
    <row r="1376" spans="2:4">
      <c r="B1376" s="144">
        <v>43739</v>
      </c>
      <c r="C1376" s="139">
        <v>0.16666666666666699</v>
      </c>
      <c r="D1376" s="3">
        <v>0</v>
      </c>
    </row>
    <row r="1377" spans="2:4">
      <c r="B1377" s="144">
        <v>43739</v>
      </c>
      <c r="C1377" s="139">
        <v>0.20833333333333301</v>
      </c>
      <c r="D1377" s="3">
        <v>0</v>
      </c>
    </row>
    <row r="1378" spans="2:4">
      <c r="B1378" s="144">
        <v>43739</v>
      </c>
      <c r="C1378" s="139">
        <v>0.25</v>
      </c>
      <c r="D1378" s="3">
        <v>83.1</v>
      </c>
    </row>
    <row r="1379" spans="2:4">
      <c r="B1379" s="144">
        <v>43739</v>
      </c>
      <c r="C1379" s="139">
        <v>0.29166666666666702</v>
      </c>
      <c r="D1379" s="3">
        <v>188.4</v>
      </c>
    </row>
    <row r="1380" spans="2:4">
      <c r="B1380" s="144">
        <v>43739</v>
      </c>
      <c r="C1380" s="139">
        <v>0.33333333333333298</v>
      </c>
      <c r="D1380" s="3">
        <v>243.2</v>
      </c>
    </row>
    <row r="1381" spans="2:4">
      <c r="B1381" s="144">
        <v>43739</v>
      </c>
      <c r="C1381" s="139">
        <v>0.375</v>
      </c>
      <c r="D1381" s="3">
        <v>259.8</v>
      </c>
    </row>
    <row r="1382" spans="2:4">
      <c r="B1382" s="144">
        <v>43739</v>
      </c>
      <c r="C1382" s="139">
        <v>0.41666666666666702</v>
      </c>
      <c r="D1382" s="3">
        <v>260.39999999999998</v>
      </c>
    </row>
    <row r="1383" spans="2:4">
      <c r="B1383" s="144">
        <v>43739</v>
      </c>
      <c r="C1383" s="139">
        <v>0.45833333333333298</v>
      </c>
      <c r="D1383" s="3">
        <v>258.5</v>
      </c>
    </row>
    <row r="1384" spans="2:4">
      <c r="B1384" s="144">
        <v>43739</v>
      </c>
      <c r="C1384" s="139">
        <v>0.5</v>
      </c>
      <c r="D1384" s="3">
        <v>236.6</v>
      </c>
    </row>
    <row r="1385" spans="2:4">
      <c r="B1385" s="144">
        <v>43739</v>
      </c>
      <c r="C1385" s="139">
        <v>0.54166666666666696</v>
      </c>
      <c r="D1385" s="3">
        <v>251.9</v>
      </c>
    </row>
    <row r="1386" spans="2:4">
      <c r="B1386" s="144">
        <v>43739</v>
      </c>
      <c r="C1386" s="139">
        <v>0.58333333333333304</v>
      </c>
      <c r="D1386" s="3">
        <v>245.3</v>
      </c>
    </row>
    <row r="1387" spans="2:4">
      <c r="B1387" s="144">
        <v>43739</v>
      </c>
      <c r="C1387" s="139">
        <v>0.625</v>
      </c>
      <c r="D1387" s="3">
        <v>211.3</v>
      </c>
    </row>
    <row r="1388" spans="2:4">
      <c r="B1388" s="144">
        <v>43739</v>
      </c>
      <c r="C1388" s="139">
        <v>0.66666666666666696</v>
      </c>
      <c r="D1388" s="3">
        <v>172.2</v>
      </c>
    </row>
    <row r="1389" spans="2:4">
      <c r="B1389" s="144">
        <v>43739</v>
      </c>
      <c r="C1389" s="139">
        <v>0.70833333333333304</v>
      </c>
      <c r="D1389" s="3">
        <v>58.3</v>
      </c>
    </row>
    <row r="1390" spans="2:4">
      <c r="B1390" s="144">
        <v>43739</v>
      </c>
      <c r="C1390" s="139">
        <v>0.75</v>
      </c>
      <c r="D1390" s="3">
        <v>0</v>
      </c>
    </row>
    <row r="1391" spans="2:4">
      <c r="B1391" s="144">
        <v>43739</v>
      </c>
      <c r="C1391" s="139">
        <v>0.79166666666666696</v>
      </c>
      <c r="D1391" s="3">
        <v>0</v>
      </c>
    </row>
    <row r="1392" spans="2:4">
      <c r="B1392" s="144">
        <v>43739</v>
      </c>
      <c r="C1392" s="139">
        <v>0.83333333333333304</v>
      </c>
      <c r="D1392" s="3">
        <v>0</v>
      </c>
    </row>
    <row r="1393" spans="2:4">
      <c r="B1393" s="144">
        <v>43739</v>
      </c>
      <c r="C1393" s="139">
        <v>0.875</v>
      </c>
      <c r="D1393" s="3">
        <v>0</v>
      </c>
    </row>
    <row r="1394" spans="2:4">
      <c r="B1394" s="144">
        <v>43739</v>
      </c>
      <c r="C1394" s="139">
        <v>0.91666666666666696</v>
      </c>
      <c r="D1394" s="3">
        <v>0</v>
      </c>
    </row>
    <row r="1395" spans="2:4">
      <c r="B1395" s="144">
        <v>43739</v>
      </c>
      <c r="C1395" s="139">
        <v>0.95833333333333304</v>
      </c>
      <c r="D1395" s="3">
        <v>0</v>
      </c>
    </row>
    <row r="1396" spans="2:4">
      <c r="B1396" s="144">
        <v>43770</v>
      </c>
      <c r="C1396" s="139">
        <v>0</v>
      </c>
      <c r="D1396" s="3">
        <v>0</v>
      </c>
    </row>
    <row r="1397" spans="2:4">
      <c r="B1397" s="144">
        <v>43770</v>
      </c>
      <c r="C1397" s="139">
        <v>4.1666666666666664E-2</v>
      </c>
      <c r="D1397" s="3">
        <v>0</v>
      </c>
    </row>
    <row r="1398" spans="2:4">
      <c r="B1398" s="144">
        <v>43770</v>
      </c>
      <c r="C1398" s="139">
        <v>8.3333333333333301E-2</v>
      </c>
      <c r="D1398" s="3">
        <v>0</v>
      </c>
    </row>
    <row r="1399" spans="2:4">
      <c r="B1399" s="144">
        <v>43770</v>
      </c>
      <c r="C1399" s="139">
        <v>0.125</v>
      </c>
      <c r="D1399" s="3">
        <v>0</v>
      </c>
    </row>
    <row r="1400" spans="2:4">
      <c r="B1400" s="144">
        <v>43770</v>
      </c>
      <c r="C1400" s="139">
        <v>0.16666666666666699</v>
      </c>
      <c r="D1400" s="3">
        <v>0</v>
      </c>
    </row>
    <row r="1401" spans="2:4">
      <c r="B1401" s="144">
        <v>43770</v>
      </c>
      <c r="C1401" s="139">
        <v>0.20833333333333301</v>
      </c>
      <c r="D1401" s="3">
        <v>0</v>
      </c>
    </row>
    <row r="1402" spans="2:4">
      <c r="B1402" s="144">
        <v>43770</v>
      </c>
      <c r="C1402" s="139">
        <v>0.25</v>
      </c>
      <c r="D1402" s="3">
        <v>106</v>
      </c>
    </row>
    <row r="1403" spans="2:4">
      <c r="B1403" s="144">
        <v>43770</v>
      </c>
      <c r="C1403" s="139">
        <v>0.29166666666666702</v>
      </c>
      <c r="D1403" s="3">
        <v>205.4</v>
      </c>
    </row>
    <row r="1404" spans="2:4">
      <c r="B1404" s="144">
        <v>43770</v>
      </c>
      <c r="C1404" s="139">
        <v>0.33333333333333298</v>
      </c>
      <c r="D1404" s="3">
        <v>248</v>
      </c>
    </row>
    <row r="1405" spans="2:4">
      <c r="B1405" s="144">
        <v>43770</v>
      </c>
      <c r="C1405" s="139">
        <v>0.375</v>
      </c>
      <c r="D1405" s="3">
        <v>257.3</v>
      </c>
    </row>
    <row r="1406" spans="2:4">
      <c r="B1406" s="144">
        <v>43770</v>
      </c>
      <c r="C1406" s="139">
        <v>0.41666666666666702</v>
      </c>
      <c r="D1406" s="3">
        <v>245.2</v>
      </c>
    </row>
    <row r="1407" spans="2:4">
      <c r="B1407" s="144">
        <v>43770</v>
      </c>
      <c r="C1407" s="139">
        <v>0.45833333333333298</v>
      </c>
      <c r="D1407" s="3">
        <v>241.9</v>
      </c>
    </row>
    <row r="1408" spans="2:4">
      <c r="B1408" s="144">
        <v>43770</v>
      </c>
      <c r="C1408" s="139">
        <v>0.5</v>
      </c>
      <c r="D1408" s="3">
        <v>235.8</v>
      </c>
    </row>
    <row r="1409" spans="2:4">
      <c r="B1409" s="144">
        <v>43770</v>
      </c>
      <c r="C1409" s="139">
        <v>0.54166666666666696</v>
      </c>
      <c r="D1409" s="3">
        <v>224.7</v>
      </c>
    </row>
    <row r="1410" spans="2:4">
      <c r="B1410" s="144">
        <v>43770</v>
      </c>
      <c r="C1410" s="139">
        <v>0.58333333333333304</v>
      </c>
      <c r="D1410" s="3">
        <v>215.2</v>
      </c>
    </row>
    <row r="1411" spans="2:4">
      <c r="B1411" s="144">
        <v>43770</v>
      </c>
      <c r="C1411" s="139">
        <v>0.625</v>
      </c>
      <c r="D1411" s="3">
        <v>200</v>
      </c>
    </row>
    <row r="1412" spans="2:4">
      <c r="B1412" s="144">
        <v>43770</v>
      </c>
      <c r="C1412" s="139">
        <v>0.66666666666666696</v>
      </c>
      <c r="D1412" s="3">
        <v>177.9</v>
      </c>
    </row>
    <row r="1413" spans="2:4">
      <c r="B1413" s="144">
        <v>43770</v>
      </c>
      <c r="C1413" s="139">
        <v>0.70833333333333304</v>
      </c>
      <c r="D1413" s="3">
        <v>68.599999999999994</v>
      </c>
    </row>
    <row r="1414" spans="2:4">
      <c r="B1414" s="144">
        <v>43770</v>
      </c>
      <c r="C1414" s="139">
        <v>0.75</v>
      </c>
      <c r="D1414" s="3">
        <v>0</v>
      </c>
    </row>
    <row r="1415" spans="2:4">
      <c r="B1415" s="144">
        <v>43770</v>
      </c>
      <c r="C1415" s="139">
        <v>0.79166666666666696</v>
      </c>
      <c r="D1415" s="3">
        <v>0</v>
      </c>
    </row>
    <row r="1416" spans="2:4">
      <c r="B1416" s="144">
        <v>43770</v>
      </c>
      <c r="C1416" s="139">
        <v>0.83333333333333304</v>
      </c>
      <c r="D1416" s="3">
        <v>0</v>
      </c>
    </row>
    <row r="1417" spans="2:4">
      <c r="B1417" s="144">
        <v>43770</v>
      </c>
      <c r="C1417" s="139">
        <v>0.875</v>
      </c>
      <c r="D1417" s="3">
        <v>0</v>
      </c>
    </row>
    <row r="1418" spans="2:4">
      <c r="B1418" s="144">
        <v>43770</v>
      </c>
      <c r="C1418" s="139">
        <v>0.91666666666666696</v>
      </c>
      <c r="D1418" s="3">
        <v>0</v>
      </c>
    </row>
    <row r="1419" spans="2:4">
      <c r="B1419" s="144">
        <v>43770</v>
      </c>
      <c r="C1419" s="139">
        <v>0.95833333333333304</v>
      </c>
      <c r="D1419" s="3">
        <v>0</v>
      </c>
    </row>
    <row r="1420" spans="2:4">
      <c r="B1420" s="144">
        <v>43800</v>
      </c>
      <c r="C1420" s="139">
        <v>0</v>
      </c>
      <c r="D1420" s="3">
        <v>0</v>
      </c>
    </row>
    <row r="1421" spans="2:4">
      <c r="B1421" s="144">
        <v>43800</v>
      </c>
      <c r="C1421" s="139">
        <v>4.1666666666666664E-2</v>
      </c>
      <c r="D1421" s="3">
        <v>0</v>
      </c>
    </row>
    <row r="1422" spans="2:4">
      <c r="B1422" s="144">
        <v>43800</v>
      </c>
      <c r="C1422" s="139">
        <v>8.3333333333333301E-2</v>
      </c>
      <c r="D1422" s="3">
        <v>0</v>
      </c>
    </row>
    <row r="1423" spans="2:4">
      <c r="B1423" s="144">
        <v>43800</v>
      </c>
      <c r="C1423" s="139">
        <v>0.125</v>
      </c>
      <c r="D1423" s="3">
        <v>0</v>
      </c>
    </row>
    <row r="1424" spans="2:4">
      <c r="B1424" s="144">
        <v>43800</v>
      </c>
      <c r="C1424" s="139">
        <v>0.16666666666666699</v>
      </c>
      <c r="D1424" s="3">
        <v>0</v>
      </c>
    </row>
    <row r="1425" spans="2:4">
      <c r="B1425" s="144">
        <v>43800</v>
      </c>
      <c r="C1425" s="139">
        <v>0.20833333333333301</v>
      </c>
      <c r="D1425" s="3">
        <v>0</v>
      </c>
    </row>
    <row r="1426" spans="2:4">
      <c r="B1426" s="144">
        <v>43800</v>
      </c>
      <c r="C1426" s="139">
        <v>0.25</v>
      </c>
      <c r="D1426" s="3">
        <v>63.7</v>
      </c>
    </row>
    <row r="1427" spans="2:4">
      <c r="B1427" s="144">
        <v>43800</v>
      </c>
      <c r="C1427" s="139">
        <v>0.29166666666666702</v>
      </c>
      <c r="D1427" s="3">
        <v>159.5</v>
      </c>
    </row>
    <row r="1428" spans="2:4">
      <c r="B1428" s="144">
        <v>43800</v>
      </c>
      <c r="C1428" s="139">
        <v>0.33333333333333298</v>
      </c>
      <c r="D1428" s="3">
        <v>207.1</v>
      </c>
    </row>
    <row r="1429" spans="2:4">
      <c r="B1429" s="144">
        <v>43800</v>
      </c>
      <c r="C1429" s="139">
        <v>0.375</v>
      </c>
      <c r="D1429" s="3">
        <v>241.5</v>
      </c>
    </row>
    <row r="1430" spans="2:4">
      <c r="B1430" s="144">
        <v>43800</v>
      </c>
      <c r="C1430" s="139">
        <v>0.41666666666666702</v>
      </c>
      <c r="D1430" s="3">
        <v>254.2</v>
      </c>
    </row>
    <row r="1431" spans="2:4">
      <c r="B1431" s="144">
        <v>43800</v>
      </c>
      <c r="C1431" s="139">
        <v>0.45833333333333298</v>
      </c>
      <c r="D1431" s="3">
        <v>255.9</v>
      </c>
    </row>
    <row r="1432" spans="2:4">
      <c r="B1432" s="144">
        <v>43800</v>
      </c>
      <c r="C1432" s="139">
        <v>0.5</v>
      </c>
      <c r="D1432" s="3">
        <v>251.3</v>
      </c>
    </row>
    <row r="1433" spans="2:4">
      <c r="B1433" s="144">
        <v>43800</v>
      </c>
      <c r="C1433" s="139">
        <v>0.54166666666666696</v>
      </c>
      <c r="D1433" s="3">
        <v>240</v>
      </c>
    </row>
    <row r="1434" spans="2:4">
      <c r="B1434" s="144">
        <v>43800</v>
      </c>
      <c r="C1434" s="139">
        <v>0.58333333333333304</v>
      </c>
      <c r="D1434" s="3">
        <v>228</v>
      </c>
    </row>
    <row r="1435" spans="2:4">
      <c r="B1435" s="144">
        <v>43800</v>
      </c>
      <c r="C1435" s="139">
        <v>0.625</v>
      </c>
      <c r="D1435" s="3">
        <v>201.6</v>
      </c>
    </row>
    <row r="1436" spans="2:4">
      <c r="B1436" s="144">
        <v>43800</v>
      </c>
      <c r="C1436" s="139">
        <v>0.66666666666666696</v>
      </c>
      <c r="D1436" s="3">
        <v>170.7</v>
      </c>
    </row>
    <row r="1437" spans="2:4">
      <c r="B1437" s="144">
        <v>43800</v>
      </c>
      <c r="C1437" s="139">
        <v>0.70833333333333304</v>
      </c>
      <c r="D1437" s="3">
        <v>93.6</v>
      </c>
    </row>
    <row r="1438" spans="2:4">
      <c r="B1438" s="144">
        <v>43800</v>
      </c>
      <c r="C1438" s="139">
        <v>0.75</v>
      </c>
      <c r="D1438" s="3">
        <v>0</v>
      </c>
    </row>
    <row r="1439" spans="2:4">
      <c r="B1439" s="144">
        <v>43800</v>
      </c>
      <c r="C1439" s="139">
        <v>0.79166666666666696</v>
      </c>
      <c r="D1439" s="3">
        <v>0</v>
      </c>
    </row>
    <row r="1440" spans="2:4">
      <c r="B1440" s="144">
        <v>43800</v>
      </c>
      <c r="C1440" s="139">
        <v>0.83333333333333304</v>
      </c>
      <c r="D1440" s="3">
        <v>0</v>
      </c>
    </row>
    <row r="1441" spans="2:4">
      <c r="B1441" s="144">
        <v>43800</v>
      </c>
      <c r="C1441" s="139">
        <v>0.875</v>
      </c>
      <c r="D1441" s="3">
        <v>0</v>
      </c>
    </row>
    <row r="1442" spans="2:4">
      <c r="B1442" s="144">
        <v>43800</v>
      </c>
      <c r="C1442" s="139">
        <v>0.91666666666666696</v>
      </c>
      <c r="D1442" s="3">
        <v>0</v>
      </c>
    </row>
    <row r="1443" spans="2:4">
      <c r="B1443" s="144">
        <v>43800</v>
      </c>
      <c r="C1443" s="139">
        <v>0.95833333333333304</v>
      </c>
      <c r="D1443" s="3">
        <v>0</v>
      </c>
    </row>
    <row r="1444" spans="2:4">
      <c r="B1444" s="144">
        <v>43861</v>
      </c>
      <c r="C1444" s="139">
        <v>0</v>
      </c>
      <c r="D1444" s="3">
        <v>0</v>
      </c>
    </row>
    <row r="1445" spans="2:4">
      <c r="B1445" s="144">
        <v>43861</v>
      </c>
      <c r="C1445" s="139">
        <v>4.1666666666666664E-2</v>
      </c>
      <c r="D1445" s="3">
        <v>0</v>
      </c>
    </row>
    <row r="1446" spans="2:4">
      <c r="B1446" s="144">
        <v>43861</v>
      </c>
      <c r="C1446" s="139">
        <v>8.3333333333333301E-2</v>
      </c>
      <c r="D1446" s="3">
        <v>0</v>
      </c>
    </row>
    <row r="1447" spans="2:4">
      <c r="B1447" s="144">
        <v>43861</v>
      </c>
      <c r="C1447" s="139">
        <v>0.125</v>
      </c>
      <c r="D1447" s="3">
        <v>0</v>
      </c>
    </row>
    <row r="1448" spans="2:4">
      <c r="B1448" s="144">
        <v>43861</v>
      </c>
      <c r="C1448" s="139">
        <v>0.16666666666666699</v>
      </c>
      <c r="D1448" s="3">
        <v>0</v>
      </c>
    </row>
    <row r="1449" spans="2:4">
      <c r="B1449" s="144">
        <v>43861</v>
      </c>
      <c r="C1449" s="139">
        <v>0.20833333333333301</v>
      </c>
      <c r="D1449" s="3">
        <v>0</v>
      </c>
    </row>
    <row r="1450" spans="2:4">
      <c r="B1450" s="144">
        <v>43861</v>
      </c>
      <c r="C1450" s="139">
        <v>0.25</v>
      </c>
      <c r="D1450" s="3">
        <v>21.4</v>
      </c>
    </row>
    <row r="1451" spans="2:4">
      <c r="B1451" s="144">
        <v>43861</v>
      </c>
      <c r="C1451" s="139">
        <v>0.29166666666666702</v>
      </c>
      <c r="D1451" s="3">
        <v>131.80000000000001</v>
      </c>
    </row>
    <row r="1452" spans="2:4">
      <c r="B1452" s="144">
        <v>43861</v>
      </c>
      <c r="C1452" s="139">
        <v>0.33333333333333298</v>
      </c>
      <c r="D1452" s="3">
        <v>190.4</v>
      </c>
    </row>
    <row r="1453" spans="2:4">
      <c r="B1453" s="144">
        <v>43861</v>
      </c>
      <c r="C1453" s="139">
        <v>0.375</v>
      </c>
      <c r="D1453" s="3">
        <v>229.3</v>
      </c>
    </row>
    <row r="1454" spans="2:4">
      <c r="B1454" s="144">
        <v>43861</v>
      </c>
      <c r="C1454" s="139">
        <v>0.41666666666666702</v>
      </c>
      <c r="D1454" s="3">
        <v>243.8</v>
      </c>
    </row>
    <row r="1455" spans="2:4">
      <c r="B1455" s="144">
        <v>43861</v>
      </c>
      <c r="C1455" s="139">
        <v>0.45833333333333298</v>
      </c>
      <c r="D1455" s="3">
        <v>236.3</v>
      </c>
    </row>
    <row r="1456" spans="2:4">
      <c r="B1456" s="144">
        <v>43861</v>
      </c>
      <c r="C1456" s="139">
        <v>0.5</v>
      </c>
      <c r="D1456" s="3">
        <v>246.9</v>
      </c>
    </row>
    <row r="1457" spans="2:4">
      <c r="B1457" s="144">
        <v>43861</v>
      </c>
      <c r="C1457" s="139">
        <v>0.54166666666666696</v>
      </c>
      <c r="D1457" s="3">
        <v>242</v>
      </c>
    </row>
    <row r="1458" spans="2:4">
      <c r="B1458" s="144">
        <v>43861</v>
      </c>
      <c r="C1458" s="139">
        <v>0.58333333333333304</v>
      </c>
      <c r="D1458" s="3">
        <v>240.5</v>
      </c>
    </row>
    <row r="1459" spans="2:4">
      <c r="B1459" s="144">
        <v>43861</v>
      </c>
      <c r="C1459" s="139">
        <v>0.625</v>
      </c>
      <c r="D1459" s="3">
        <v>210.9</v>
      </c>
    </row>
    <row r="1460" spans="2:4">
      <c r="B1460" s="144">
        <v>43861</v>
      </c>
      <c r="C1460" s="139">
        <v>0.66666666666666696</v>
      </c>
      <c r="D1460" s="3">
        <v>173.1</v>
      </c>
    </row>
    <row r="1461" spans="2:4">
      <c r="B1461" s="144">
        <v>43861</v>
      </c>
      <c r="C1461" s="139">
        <v>0.70833333333333304</v>
      </c>
      <c r="D1461" s="3">
        <v>119.2</v>
      </c>
    </row>
    <row r="1462" spans="2:4">
      <c r="B1462" s="144">
        <v>43861</v>
      </c>
      <c r="C1462" s="139">
        <v>0.75</v>
      </c>
      <c r="D1462" s="3">
        <v>0</v>
      </c>
    </row>
    <row r="1463" spans="2:4">
      <c r="B1463" s="144">
        <v>43861</v>
      </c>
      <c r="C1463" s="139">
        <v>0.79166666666666696</v>
      </c>
      <c r="D1463" s="3">
        <v>0</v>
      </c>
    </row>
    <row r="1464" spans="2:4">
      <c r="B1464" s="144">
        <v>43861</v>
      </c>
      <c r="C1464" s="139">
        <v>0.83333333333333304</v>
      </c>
      <c r="D1464" s="3">
        <v>0</v>
      </c>
    </row>
    <row r="1465" spans="2:4">
      <c r="B1465" s="144">
        <v>43861</v>
      </c>
      <c r="C1465" s="139">
        <v>0.875</v>
      </c>
      <c r="D1465" s="3">
        <v>0</v>
      </c>
    </row>
    <row r="1466" spans="2:4">
      <c r="B1466" s="144">
        <v>43861</v>
      </c>
      <c r="C1466" s="139">
        <v>0.91666666666666696</v>
      </c>
      <c r="D1466" s="3">
        <v>0</v>
      </c>
    </row>
    <row r="1467" spans="2:4">
      <c r="B1467" s="144">
        <v>43861</v>
      </c>
      <c r="C1467" s="139">
        <v>0.95833333333333304</v>
      </c>
      <c r="D1467" s="3">
        <v>0</v>
      </c>
    </row>
    <row r="1468" spans="2:4">
      <c r="B1468" s="144">
        <v>43889</v>
      </c>
      <c r="C1468" s="139">
        <v>0</v>
      </c>
      <c r="D1468" s="3">
        <v>0</v>
      </c>
    </row>
    <row r="1469" spans="2:4">
      <c r="B1469" s="144">
        <v>43889</v>
      </c>
      <c r="C1469" s="139">
        <v>4.1666666666666664E-2</v>
      </c>
      <c r="D1469" s="3">
        <v>0</v>
      </c>
    </row>
    <row r="1470" spans="2:4">
      <c r="B1470" s="144">
        <v>43889</v>
      </c>
      <c r="C1470" s="139">
        <v>8.3333333333333301E-2</v>
      </c>
      <c r="D1470" s="3">
        <v>0</v>
      </c>
    </row>
    <row r="1471" spans="2:4">
      <c r="B1471" s="144">
        <v>43889</v>
      </c>
      <c r="C1471" s="139">
        <v>0.125</v>
      </c>
      <c r="D1471" s="3">
        <v>0</v>
      </c>
    </row>
    <row r="1472" spans="2:4">
      <c r="B1472" s="144">
        <v>43889</v>
      </c>
      <c r="C1472" s="139">
        <v>0.16666666666666699</v>
      </c>
      <c r="D1472" s="3">
        <v>0</v>
      </c>
    </row>
    <row r="1473" spans="2:4">
      <c r="B1473" s="144">
        <v>43889</v>
      </c>
      <c r="C1473" s="139">
        <v>0.20833333333333301</v>
      </c>
      <c r="D1473" s="3">
        <v>0</v>
      </c>
    </row>
    <row r="1474" spans="2:4">
      <c r="B1474" s="144">
        <v>43889</v>
      </c>
      <c r="C1474" s="139">
        <v>0.25</v>
      </c>
      <c r="D1474" s="3">
        <v>23.1</v>
      </c>
    </row>
    <row r="1475" spans="2:4">
      <c r="B1475" s="144">
        <v>43889</v>
      </c>
      <c r="C1475" s="139">
        <v>0.29166666666666702</v>
      </c>
      <c r="D1475" s="3">
        <v>157.69999999999999</v>
      </c>
    </row>
    <row r="1476" spans="2:4">
      <c r="B1476" s="144">
        <v>43889</v>
      </c>
      <c r="C1476" s="139">
        <v>0.33333333333333298</v>
      </c>
      <c r="D1476" s="3">
        <v>227.1</v>
      </c>
    </row>
    <row r="1477" spans="2:4">
      <c r="B1477" s="144">
        <v>43889</v>
      </c>
      <c r="C1477" s="139">
        <v>0.375</v>
      </c>
      <c r="D1477" s="3">
        <v>270.5</v>
      </c>
    </row>
    <row r="1478" spans="2:4">
      <c r="B1478" s="144">
        <v>43889</v>
      </c>
      <c r="C1478" s="139">
        <v>0.41666666666666702</v>
      </c>
      <c r="D1478" s="3">
        <v>270.60000000000002</v>
      </c>
    </row>
    <row r="1479" spans="2:4">
      <c r="B1479" s="144">
        <v>43889</v>
      </c>
      <c r="C1479" s="139">
        <v>0.45833333333333298</v>
      </c>
      <c r="D1479" s="3">
        <v>271.3</v>
      </c>
    </row>
    <row r="1480" spans="2:4">
      <c r="B1480" s="144">
        <v>43889</v>
      </c>
      <c r="C1480" s="139">
        <v>0.5</v>
      </c>
      <c r="D1480" s="3">
        <v>252.6</v>
      </c>
    </row>
    <row r="1481" spans="2:4">
      <c r="B1481" s="144">
        <v>43889</v>
      </c>
      <c r="C1481" s="139">
        <v>0.54166666666666696</v>
      </c>
      <c r="D1481" s="3">
        <v>254.1</v>
      </c>
    </row>
    <row r="1482" spans="2:4">
      <c r="B1482" s="144">
        <v>43889</v>
      </c>
      <c r="C1482" s="139">
        <v>0.58333333333333304</v>
      </c>
      <c r="D1482" s="3">
        <v>283</v>
      </c>
    </row>
    <row r="1483" spans="2:4">
      <c r="B1483" s="144">
        <v>43889</v>
      </c>
      <c r="C1483" s="139">
        <v>0.625</v>
      </c>
      <c r="D1483" s="3">
        <v>269.8</v>
      </c>
    </row>
    <row r="1484" spans="2:4">
      <c r="B1484" s="144">
        <v>43889</v>
      </c>
      <c r="C1484" s="139">
        <v>0.66666666666666696</v>
      </c>
      <c r="D1484" s="3">
        <v>212.4</v>
      </c>
    </row>
    <row r="1485" spans="2:4">
      <c r="B1485" s="144">
        <v>43889</v>
      </c>
      <c r="C1485" s="139">
        <v>0.70833333333333304</v>
      </c>
      <c r="D1485" s="3">
        <v>148.5</v>
      </c>
    </row>
    <row r="1486" spans="2:4">
      <c r="B1486" s="144">
        <v>43889</v>
      </c>
      <c r="C1486" s="139">
        <v>0.75</v>
      </c>
      <c r="D1486" s="3">
        <v>0</v>
      </c>
    </row>
    <row r="1487" spans="2:4">
      <c r="B1487" s="144">
        <v>43889</v>
      </c>
      <c r="C1487" s="139">
        <v>0.79166666666666696</v>
      </c>
      <c r="D1487" s="3">
        <v>0</v>
      </c>
    </row>
    <row r="1488" spans="2:4">
      <c r="B1488" s="144">
        <v>43889</v>
      </c>
      <c r="C1488" s="139">
        <v>0.83333333333333304</v>
      </c>
      <c r="D1488" s="3">
        <v>0</v>
      </c>
    </row>
    <row r="1489" spans="2:4">
      <c r="B1489" s="144">
        <v>43889</v>
      </c>
      <c r="C1489" s="139">
        <v>0.875</v>
      </c>
      <c r="D1489" s="3">
        <v>0</v>
      </c>
    </row>
    <row r="1490" spans="2:4">
      <c r="B1490" s="144">
        <v>43889</v>
      </c>
      <c r="C1490" s="139">
        <v>0.91666666666666696</v>
      </c>
      <c r="D1490" s="3">
        <v>0</v>
      </c>
    </row>
    <row r="1491" spans="2:4">
      <c r="B1491" s="144">
        <v>43889</v>
      </c>
      <c r="C1491" s="139">
        <v>0.95833333333333304</v>
      </c>
      <c r="D1491" s="3">
        <v>0</v>
      </c>
    </row>
    <row r="1492" spans="2:4">
      <c r="B1492" s="144">
        <v>43921</v>
      </c>
      <c r="C1492" s="139">
        <v>0</v>
      </c>
      <c r="D1492" s="3">
        <v>0</v>
      </c>
    </row>
    <row r="1493" spans="2:4">
      <c r="B1493" s="144">
        <v>43921</v>
      </c>
      <c r="C1493" s="139">
        <v>4.1666666666666664E-2</v>
      </c>
      <c r="D1493" s="3">
        <v>0</v>
      </c>
    </row>
    <row r="1494" spans="2:4">
      <c r="B1494" s="144">
        <v>43921</v>
      </c>
      <c r="C1494" s="139">
        <v>8.3333333333333301E-2</v>
      </c>
      <c r="D1494" s="3">
        <v>0</v>
      </c>
    </row>
    <row r="1495" spans="2:4">
      <c r="B1495" s="144">
        <v>43921</v>
      </c>
      <c r="C1495" s="139">
        <v>0.125</v>
      </c>
      <c r="D1495" s="3">
        <v>0</v>
      </c>
    </row>
    <row r="1496" spans="2:4">
      <c r="B1496" s="144">
        <v>43921</v>
      </c>
      <c r="C1496" s="139">
        <v>0.16666666666666699</v>
      </c>
      <c r="D1496" s="3">
        <v>0</v>
      </c>
    </row>
    <row r="1497" spans="2:4">
      <c r="B1497" s="144">
        <v>43921</v>
      </c>
      <c r="C1497" s="139">
        <v>0.20833333333333301</v>
      </c>
      <c r="D1497" s="3">
        <v>0</v>
      </c>
    </row>
    <row r="1498" spans="2:4">
      <c r="B1498" s="144">
        <v>43921</v>
      </c>
      <c r="C1498" s="139">
        <v>0.25</v>
      </c>
      <c r="D1498" s="3">
        <v>29</v>
      </c>
    </row>
    <row r="1499" spans="2:4">
      <c r="B1499" s="144">
        <v>43921</v>
      </c>
      <c r="C1499" s="139">
        <v>0.29166666666666702</v>
      </c>
      <c r="D1499" s="3">
        <v>175.7</v>
      </c>
    </row>
    <row r="1500" spans="2:4">
      <c r="B1500" s="144">
        <v>43921</v>
      </c>
      <c r="C1500" s="139">
        <v>0.33333333333333298</v>
      </c>
      <c r="D1500" s="3">
        <v>249.4</v>
      </c>
    </row>
    <row r="1501" spans="2:4">
      <c r="B1501" s="144">
        <v>43921</v>
      </c>
      <c r="C1501" s="139">
        <v>0.375</v>
      </c>
      <c r="D1501" s="3">
        <v>273.89999999999998</v>
      </c>
    </row>
    <row r="1502" spans="2:4">
      <c r="B1502" s="144">
        <v>43921</v>
      </c>
      <c r="C1502" s="139">
        <v>0.41666666666666702</v>
      </c>
      <c r="D1502" s="3">
        <v>260.8</v>
      </c>
    </row>
    <row r="1503" spans="2:4">
      <c r="B1503" s="144">
        <v>43921</v>
      </c>
      <c r="C1503" s="139">
        <v>0.45833333333333298</v>
      </c>
      <c r="D1503" s="3">
        <v>266.10000000000002</v>
      </c>
    </row>
    <row r="1504" spans="2:4">
      <c r="B1504" s="144">
        <v>43921</v>
      </c>
      <c r="C1504" s="139">
        <v>0.5</v>
      </c>
      <c r="D1504" s="3">
        <v>250</v>
      </c>
    </row>
    <row r="1505" spans="2:4">
      <c r="B1505" s="144">
        <v>43921</v>
      </c>
      <c r="C1505" s="139">
        <v>0.54166666666666696</v>
      </c>
      <c r="D1505" s="3">
        <v>288.8</v>
      </c>
    </row>
    <row r="1506" spans="2:4">
      <c r="B1506" s="144">
        <v>43921</v>
      </c>
      <c r="C1506" s="139">
        <v>0.58333333333333304</v>
      </c>
      <c r="D1506" s="3">
        <v>285</v>
      </c>
    </row>
    <row r="1507" spans="2:4">
      <c r="B1507" s="144">
        <v>43921</v>
      </c>
      <c r="C1507" s="139">
        <v>0.625</v>
      </c>
      <c r="D1507" s="3">
        <v>274.8</v>
      </c>
    </row>
    <row r="1508" spans="2:4">
      <c r="B1508" s="144">
        <v>43921</v>
      </c>
      <c r="C1508" s="139">
        <v>0.66666666666666696</v>
      </c>
      <c r="D1508" s="3">
        <v>227.2</v>
      </c>
    </row>
    <row r="1509" spans="2:4">
      <c r="B1509" s="144">
        <v>43921</v>
      </c>
      <c r="C1509" s="139">
        <v>0.70833333333333304</v>
      </c>
      <c r="D1509" s="3">
        <v>130.19999999999999</v>
      </c>
    </row>
    <row r="1510" spans="2:4">
      <c r="B1510" s="144">
        <v>43921</v>
      </c>
      <c r="C1510" s="139">
        <v>0.75</v>
      </c>
      <c r="D1510" s="3">
        <v>0</v>
      </c>
    </row>
    <row r="1511" spans="2:4">
      <c r="B1511" s="144">
        <v>43921</v>
      </c>
      <c r="C1511" s="139">
        <v>0.79166666666666696</v>
      </c>
      <c r="D1511" s="3">
        <v>0</v>
      </c>
    </row>
    <row r="1512" spans="2:4">
      <c r="B1512" s="144">
        <v>43921</v>
      </c>
      <c r="C1512" s="139">
        <v>0.83333333333333304</v>
      </c>
      <c r="D1512" s="3">
        <v>0</v>
      </c>
    </row>
    <row r="1513" spans="2:4">
      <c r="B1513" s="144">
        <v>43921</v>
      </c>
      <c r="C1513" s="139">
        <v>0.875</v>
      </c>
      <c r="D1513" s="3">
        <v>0</v>
      </c>
    </row>
    <row r="1514" spans="2:4">
      <c r="B1514" s="144">
        <v>43921</v>
      </c>
      <c r="C1514" s="139">
        <v>0.91666666666666696</v>
      </c>
      <c r="D1514" s="3">
        <v>0</v>
      </c>
    </row>
    <row r="1515" spans="2:4">
      <c r="B1515" s="144">
        <v>43921</v>
      </c>
      <c r="C1515" s="139">
        <v>0.95833333333333304</v>
      </c>
      <c r="D1515" s="3">
        <v>0</v>
      </c>
    </row>
    <row r="1516" spans="2:4">
      <c r="B1516" s="144">
        <v>43951</v>
      </c>
      <c r="C1516" s="139">
        <v>0</v>
      </c>
      <c r="D1516" s="3">
        <v>0</v>
      </c>
    </row>
    <row r="1517" spans="2:4">
      <c r="B1517" s="144">
        <v>43951</v>
      </c>
      <c r="C1517" s="139">
        <v>4.1666666666666664E-2</v>
      </c>
      <c r="D1517" s="3">
        <v>0</v>
      </c>
    </row>
    <row r="1518" spans="2:4">
      <c r="B1518" s="144">
        <v>43951</v>
      </c>
      <c r="C1518" s="139">
        <v>8.3333333333333301E-2</v>
      </c>
      <c r="D1518" s="3">
        <v>0</v>
      </c>
    </row>
    <row r="1519" spans="2:4">
      <c r="B1519" s="144">
        <v>43951</v>
      </c>
      <c r="C1519" s="139">
        <v>0.125</v>
      </c>
      <c r="D1519" s="3">
        <v>0</v>
      </c>
    </row>
    <row r="1520" spans="2:4">
      <c r="B1520" s="144">
        <v>43951</v>
      </c>
      <c r="C1520" s="139">
        <v>0.16666666666666699</v>
      </c>
      <c r="D1520" s="3">
        <v>0</v>
      </c>
    </row>
    <row r="1521" spans="2:4">
      <c r="B1521" s="144">
        <v>43951</v>
      </c>
      <c r="C1521" s="139">
        <v>0.20833333333333301</v>
      </c>
      <c r="D1521" s="3">
        <v>0</v>
      </c>
    </row>
    <row r="1522" spans="2:4">
      <c r="B1522" s="144">
        <v>43951</v>
      </c>
      <c r="C1522" s="139">
        <v>0.25</v>
      </c>
      <c r="D1522" s="3">
        <v>55.5</v>
      </c>
    </row>
    <row r="1523" spans="2:4">
      <c r="B1523" s="144">
        <v>43951</v>
      </c>
      <c r="C1523" s="139">
        <v>0.29166666666666702</v>
      </c>
      <c r="D1523" s="3">
        <v>209.1</v>
      </c>
    </row>
    <row r="1524" spans="2:4">
      <c r="B1524" s="144">
        <v>43951</v>
      </c>
      <c r="C1524" s="139">
        <v>0.33333333333333298</v>
      </c>
      <c r="D1524" s="3">
        <v>278.60000000000002</v>
      </c>
    </row>
    <row r="1525" spans="2:4">
      <c r="B1525" s="144">
        <v>43951</v>
      </c>
      <c r="C1525" s="139">
        <v>0.375</v>
      </c>
      <c r="D1525" s="3">
        <v>296.10000000000002</v>
      </c>
    </row>
    <row r="1526" spans="2:4">
      <c r="B1526" s="144">
        <v>43951</v>
      </c>
      <c r="C1526" s="139">
        <v>0.41666666666666702</v>
      </c>
      <c r="D1526" s="3">
        <v>296.8</v>
      </c>
    </row>
    <row r="1527" spans="2:4">
      <c r="B1527" s="144">
        <v>43951</v>
      </c>
      <c r="C1527" s="139">
        <v>0.45833333333333298</v>
      </c>
      <c r="D1527" s="3">
        <v>313</v>
      </c>
    </row>
    <row r="1528" spans="2:4">
      <c r="B1528" s="144">
        <v>43951</v>
      </c>
      <c r="C1528" s="139">
        <v>0.5</v>
      </c>
      <c r="D1528" s="3">
        <v>275.5</v>
      </c>
    </row>
    <row r="1529" spans="2:4">
      <c r="B1529" s="144">
        <v>43951</v>
      </c>
      <c r="C1529" s="139">
        <v>0.54166666666666696</v>
      </c>
      <c r="D1529" s="3">
        <v>259.10000000000002</v>
      </c>
    </row>
    <row r="1530" spans="2:4">
      <c r="B1530" s="144">
        <v>43951</v>
      </c>
      <c r="C1530" s="139">
        <v>0.58333333333333304</v>
      </c>
      <c r="D1530" s="3">
        <v>266.7</v>
      </c>
    </row>
    <row r="1531" spans="2:4">
      <c r="B1531" s="144">
        <v>43951</v>
      </c>
      <c r="C1531" s="139">
        <v>0.625</v>
      </c>
      <c r="D1531" s="3">
        <v>250</v>
      </c>
    </row>
    <row r="1532" spans="2:4">
      <c r="B1532" s="144">
        <v>43951</v>
      </c>
      <c r="C1532" s="139">
        <v>0.66666666666666696</v>
      </c>
      <c r="D1532" s="3">
        <v>218.5</v>
      </c>
    </row>
    <row r="1533" spans="2:4">
      <c r="B1533" s="144">
        <v>43951</v>
      </c>
      <c r="C1533" s="139">
        <v>0.70833333333333304</v>
      </c>
      <c r="D1533" s="3">
        <v>88.1</v>
      </c>
    </row>
    <row r="1534" spans="2:4">
      <c r="B1534" s="144">
        <v>43951</v>
      </c>
      <c r="C1534" s="139">
        <v>0.75</v>
      </c>
      <c r="D1534" s="3">
        <v>0</v>
      </c>
    </row>
    <row r="1535" spans="2:4">
      <c r="B1535" s="144">
        <v>43951</v>
      </c>
      <c r="C1535" s="139">
        <v>0.79166666666666696</v>
      </c>
      <c r="D1535" s="3">
        <v>0</v>
      </c>
    </row>
    <row r="1536" spans="2:4">
      <c r="B1536" s="144">
        <v>43951</v>
      </c>
      <c r="C1536" s="139">
        <v>0.83333333333333304</v>
      </c>
      <c r="D1536" s="3">
        <v>0</v>
      </c>
    </row>
    <row r="1537" spans="2:4">
      <c r="B1537" s="144">
        <v>43951</v>
      </c>
      <c r="C1537" s="139">
        <v>0.875</v>
      </c>
      <c r="D1537" s="3">
        <v>0</v>
      </c>
    </row>
    <row r="1538" spans="2:4">
      <c r="B1538" s="144">
        <v>43951</v>
      </c>
      <c r="C1538" s="139">
        <v>0.91666666666666696</v>
      </c>
      <c r="D1538" s="3">
        <v>0</v>
      </c>
    </row>
    <row r="1539" spans="2:4">
      <c r="B1539" s="144">
        <v>43951</v>
      </c>
      <c r="C1539" s="139">
        <v>0.95833333333333304</v>
      </c>
      <c r="D1539" s="3">
        <v>0</v>
      </c>
    </row>
    <row r="1540" spans="2:4">
      <c r="B1540" s="144">
        <v>43982</v>
      </c>
      <c r="C1540" s="139">
        <v>0</v>
      </c>
      <c r="D1540" s="3">
        <v>0</v>
      </c>
    </row>
    <row r="1541" spans="2:4">
      <c r="B1541" s="144">
        <v>43982</v>
      </c>
      <c r="C1541" s="139">
        <v>4.1666666666666664E-2</v>
      </c>
      <c r="D1541" s="3">
        <v>0</v>
      </c>
    </row>
    <row r="1542" spans="2:4">
      <c r="B1542" s="144">
        <v>43982</v>
      </c>
      <c r="C1542" s="139">
        <v>8.3333333333333301E-2</v>
      </c>
      <c r="D1542" s="3">
        <v>0</v>
      </c>
    </row>
    <row r="1543" spans="2:4">
      <c r="B1543" s="144">
        <v>43982</v>
      </c>
      <c r="C1543" s="139">
        <v>0.125</v>
      </c>
      <c r="D1543" s="3">
        <v>0</v>
      </c>
    </row>
    <row r="1544" spans="2:4">
      <c r="B1544" s="144">
        <v>43982</v>
      </c>
      <c r="C1544" s="139">
        <v>0.16666666666666699</v>
      </c>
      <c r="D1544" s="3">
        <v>0</v>
      </c>
    </row>
    <row r="1545" spans="2:4">
      <c r="B1545" s="144">
        <v>43982</v>
      </c>
      <c r="C1545" s="139">
        <v>0.20833333333333301</v>
      </c>
      <c r="D1545" s="3">
        <v>0</v>
      </c>
    </row>
    <row r="1546" spans="2:4">
      <c r="B1546" s="144">
        <v>43982</v>
      </c>
      <c r="C1546" s="139">
        <v>0.25</v>
      </c>
      <c r="D1546" s="3">
        <v>83.6</v>
      </c>
    </row>
    <row r="1547" spans="2:4">
      <c r="B1547" s="144">
        <v>43982</v>
      </c>
      <c r="C1547" s="139">
        <v>0.29166666666666702</v>
      </c>
      <c r="D1547" s="3">
        <v>224.3</v>
      </c>
    </row>
    <row r="1548" spans="2:4">
      <c r="B1548" s="144">
        <v>43982</v>
      </c>
      <c r="C1548" s="139">
        <v>0.33333333333333298</v>
      </c>
      <c r="D1548" s="3">
        <v>283.3</v>
      </c>
    </row>
    <row r="1549" spans="2:4">
      <c r="B1549" s="144">
        <v>43982</v>
      </c>
      <c r="C1549" s="139">
        <v>0.375</v>
      </c>
      <c r="D1549" s="3">
        <v>289.39999999999998</v>
      </c>
    </row>
    <row r="1550" spans="2:4">
      <c r="B1550" s="144">
        <v>43982</v>
      </c>
      <c r="C1550" s="139">
        <v>0.41666666666666702</v>
      </c>
      <c r="D1550" s="3">
        <v>282.8</v>
      </c>
    </row>
    <row r="1551" spans="2:4">
      <c r="B1551" s="144">
        <v>43982</v>
      </c>
      <c r="C1551" s="139">
        <v>0.45833333333333298</v>
      </c>
      <c r="D1551" s="3">
        <v>286.60000000000002</v>
      </c>
    </row>
    <row r="1552" spans="2:4">
      <c r="B1552" s="144">
        <v>43982</v>
      </c>
      <c r="C1552" s="139">
        <v>0.5</v>
      </c>
      <c r="D1552" s="3">
        <v>270.5</v>
      </c>
    </row>
    <row r="1553" spans="2:4">
      <c r="B1553" s="144">
        <v>43982</v>
      </c>
      <c r="C1553" s="139">
        <v>0.54166666666666696</v>
      </c>
      <c r="D1553" s="3">
        <v>266.10000000000002</v>
      </c>
    </row>
    <row r="1554" spans="2:4">
      <c r="B1554" s="144">
        <v>43982</v>
      </c>
      <c r="C1554" s="139">
        <v>0.58333333333333304</v>
      </c>
      <c r="D1554" s="3">
        <v>246</v>
      </c>
    </row>
    <row r="1555" spans="2:4">
      <c r="B1555" s="144">
        <v>43982</v>
      </c>
      <c r="C1555" s="139">
        <v>0.625</v>
      </c>
      <c r="D1555" s="3">
        <v>224</v>
      </c>
    </row>
    <row r="1556" spans="2:4">
      <c r="B1556" s="144">
        <v>43982</v>
      </c>
      <c r="C1556" s="139">
        <v>0.66666666666666696</v>
      </c>
      <c r="D1556" s="3">
        <v>205.8</v>
      </c>
    </row>
    <row r="1557" spans="2:4">
      <c r="B1557" s="144">
        <v>43982</v>
      </c>
      <c r="C1557" s="139">
        <v>0.70833333333333304</v>
      </c>
      <c r="D1557" s="3">
        <v>89.4</v>
      </c>
    </row>
    <row r="1558" spans="2:4">
      <c r="B1558" s="144">
        <v>43982</v>
      </c>
      <c r="C1558" s="139">
        <v>0.75</v>
      </c>
      <c r="D1558" s="3">
        <v>0</v>
      </c>
    </row>
    <row r="1559" spans="2:4">
      <c r="B1559" s="144">
        <v>43982</v>
      </c>
      <c r="C1559" s="139">
        <v>0.79166666666666696</v>
      </c>
      <c r="D1559" s="3">
        <v>0</v>
      </c>
    </row>
    <row r="1560" spans="2:4">
      <c r="B1560" s="144">
        <v>43982</v>
      </c>
      <c r="C1560" s="139">
        <v>0.83333333333333304</v>
      </c>
      <c r="D1560" s="3">
        <v>0</v>
      </c>
    </row>
    <row r="1561" spans="2:4">
      <c r="B1561" s="144">
        <v>43982</v>
      </c>
      <c r="C1561" s="139">
        <v>0.875</v>
      </c>
      <c r="D1561" s="3">
        <v>0</v>
      </c>
    </row>
    <row r="1562" spans="2:4">
      <c r="B1562" s="144">
        <v>43982</v>
      </c>
      <c r="C1562" s="139">
        <v>0.91666666666666696</v>
      </c>
      <c r="D1562" s="3">
        <v>0</v>
      </c>
    </row>
    <row r="1563" spans="2:4">
      <c r="B1563" s="144">
        <v>43982</v>
      </c>
      <c r="C1563" s="139">
        <v>0.95833333333333304</v>
      </c>
      <c r="D1563" s="3">
        <v>0</v>
      </c>
    </row>
    <row r="1564" spans="2:4">
      <c r="B1564" s="144">
        <v>44012</v>
      </c>
      <c r="C1564" s="139">
        <v>0</v>
      </c>
      <c r="D1564" s="3">
        <v>0</v>
      </c>
    </row>
    <row r="1565" spans="2:4">
      <c r="B1565" s="144">
        <v>44012</v>
      </c>
      <c r="C1565" s="139">
        <v>4.1666666666666664E-2</v>
      </c>
      <c r="D1565" s="3">
        <v>0</v>
      </c>
    </row>
    <row r="1566" spans="2:4">
      <c r="B1566" s="144">
        <v>44012</v>
      </c>
      <c r="C1566" s="139">
        <v>8.3333333333333301E-2</v>
      </c>
      <c r="D1566" s="3">
        <v>0</v>
      </c>
    </row>
    <row r="1567" spans="2:4">
      <c r="B1567" s="144">
        <v>44012</v>
      </c>
      <c r="C1567" s="139">
        <v>0.125</v>
      </c>
      <c r="D1567" s="3">
        <v>0</v>
      </c>
    </row>
    <row r="1568" spans="2:4">
      <c r="B1568" s="144">
        <v>44012</v>
      </c>
      <c r="C1568" s="139">
        <v>0.16666666666666699</v>
      </c>
      <c r="D1568" s="3">
        <v>0</v>
      </c>
    </row>
    <row r="1569" spans="2:4">
      <c r="B1569" s="144">
        <v>44012</v>
      </c>
      <c r="C1569" s="139">
        <v>0.20833333333333301</v>
      </c>
      <c r="D1569" s="3">
        <v>0</v>
      </c>
    </row>
    <row r="1570" spans="2:4">
      <c r="B1570" s="144">
        <v>44012</v>
      </c>
      <c r="C1570" s="139">
        <v>0.25</v>
      </c>
      <c r="D1570" s="3">
        <v>58.4</v>
      </c>
    </row>
    <row r="1571" spans="2:4">
      <c r="B1571" s="144">
        <v>44012</v>
      </c>
      <c r="C1571" s="139">
        <v>0.29166666666666702</v>
      </c>
      <c r="D1571" s="3">
        <v>211.4</v>
      </c>
    </row>
    <row r="1572" spans="2:4">
      <c r="B1572" s="144">
        <v>44012</v>
      </c>
      <c r="C1572" s="139">
        <v>0.33333333333333298</v>
      </c>
      <c r="D1572" s="3">
        <v>253.1</v>
      </c>
    </row>
    <row r="1573" spans="2:4">
      <c r="B1573" s="144">
        <v>44012</v>
      </c>
      <c r="C1573" s="139">
        <v>0.375</v>
      </c>
      <c r="D1573" s="3">
        <v>262.2</v>
      </c>
    </row>
    <row r="1574" spans="2:4">
      <c r="B1574" s="144">
        <v>44012</v>
      </c>
      <c r="C1574" s="139">
        <v>0.41666666666666702</v>
      </c>
      <c r="D1574" s="3">
        <v>260.2</v>
      </c>
    </row>
    <row r="1575" spans="2:4">
      <c r="B1575" s="144">
        <v>44012</v>
      </c>
      <c r="C1575" s="139">
        <v>0.45833333333333298</v>
      </c>
      <c r="D1575" s="3">
        <v>259.7</v>
      </c>
    </row>
    <row r="1576" spans="2:4">
      <c r="B1576" s="144">
        <v>44012</v>
      </c>
      <c r="C1576" s="139">
        <v>0.5</v>
      </c>
      <c r="D1576" s="3">
        <v>269.10000000000002</v>
      </c>
    </row>
    <row r="1577" spans="2:4">
      <c r="B1577" s="144">
        <v>44012</v>
      </c>
      <c r="C1577" s="139">
        <v>0.54166666666666696</v>
      </c>
      <c r="D1577" s="3">
        <v>243.3</v>
      </c>
    </row>
    <row r="1578" spans="2:4">
      <c r="B1578" s="144">
        <v>44012</v>
      </c>
      <c r="C1578" s="139">
        <v>0.58333333333333304</v>
      </c>
      <c r="D1578" s="3">
        <v>220.1</v>
      </c>
    </row>
    <row r="1579" spans="2:4">
      <c r="B1579" s="144">
        <v>44012</v>
      </c>
      <c r="C1579" s="139">
        <v>0.625</v>
      </c>
      <c r="D1579" s="3">
        <v>204.8</v>
      </c>
    </row>
    <row r="1580" spans="2:4">
      <c r="B1580" s="144">
        <v>44012</v>
      </c>
      <c r="C1580" s="139">
        <v>0.66666666666666696</v>
      </c>
      <c r="D1580" s="3">
        <v>192.5</v>
      </c>
    </row>
    <row r="1581" spans="2:4">
      <c r="B1581" s="144">
        <v>44012</v>
      </c>
      <c r="C1581" s="139">
        <v>0.70833333333333304</v>
      </c>
      <c r="D1581" s="3">
        <v>80.8</v>
      </c>
    </row>
    <row r="1582" spans="2:4">
      <c r="B1582" s="144">
        <v>44012</v>
      </c>
      <c r="C1582" s="139">
        <v>0.75</v>
      </c>
      <c r="D1582" s="3">
        <v>0</v>
      </c>
    </row>
    <row r="1583" spans="2:4">
      <c r="B1583" s="144">
        <v>44012</v>
      </c>
      <c r="C1583" s="139">
        <v>0.79166666666666696</v>
      </c>
      <c r="D1583" s="3">
        <v>0</v>
      </c>
    </row>
    <row r="1584" spans="2:4">
      <c r="B1584" s="144">
        <v>44012</v>
      </c>
      <c r="C1584" s="139">
        <v>0.83333333333333304</v>
      </c>
      <c r="D1584" s="3">
        <v>0</v>
      </c>
    </row>
    <row r="1585" spans="2:4">
      <c r="B1585" s="144">
        <v>44012</v>
      </c>
      <c r="C1585" s="139">
        <v>0.875</v>
      </c>
      <c r="D1585" s="3">
        <v>0</v>
      </c>
    </row>
    <row r="1586" spans="2:4">
      <c r="B1586" s="144">
        <v>44012</v>
      </c>
      <c r="C1586" s="139">
        <v>0.91666666666666696</v>
      </c>
      <c r="D1586" s="3">
        <v>0</v>
      </c>
    </row>
    <row r="1587" spans="2:4">
      <c r="B1587" s="144">
        <v>44012</v>
      </c>
      <c r="C1587" s="139">
        <v>0.95833333333333304</v>
      </c>
      <c r="D1587" s="3">
        <v>0</v>
      </c>
    </row>
    <row r="1588" spans="2:4">
      <c r="B1588" s="144">
        <v>44043</v>
      </c>
      <c r="C1588" s="139">
        <v>0</v>
      </c>
      <c r="D1588" s="3">
        <v>0</v>
      </c>
    </row>
    <row r="1589" spans="2:4">
      <c r="B1589" s="144">
        <v>44043</v>
      </c>
      <c r="C1589" s="139">
        <v>4.1666666666666664E-2</v>
      </c>
      <c r="D1589" s="3">
        <v>0</v>
      </c>
    </row>
    <row r="1590" spans="2:4">
      <c r="B1590" s="144">
        <v>44043</v>
      </c>
      <c r="C1590" s="139">
        <v>8.3333333333333301E-2</v>
      </c>
      <c r="D1590" s="3">
        <v>0</v>
      </c>
    </row>
    <row r="1591" spans="2:4">
      <c r="B1591" s="144">
        <v>44043</v>
      </c>
      <c r="C1591" s="139">
        <v>0.125</v>
      </c>
      <c r="D1591" s="3">
        <v>0</v>
      </c>
    </row>
    <row r="1592" spans="2:4">
      <c r="B1592" s="144">
        <v>44043</v>
      </c>
      <c r="C1592" s="139">
        <v>0.16666666666666699</v>
      </c>
      <c r="D1592" s="3">
        <v>0</v>
      </c>
    </row>
    <row r="1593" spans="2:4">
      <c r="B1593" s="144">
        <v>44043</v>
      </c>
      <c r="C1593" s="139">
        <v>0.20833333333333301</v>
      </c>
      <c r="D1593" s="3">
        <v>0</v>
      </c>
    </row>
    <row r="1594" spans="2:4">
      <c r="B1594" s="144">
        <v>44043</v>
      </c>
      <c r="C1594" s="139">
        <v>0.25</v>
      </c>
      <c r="D1594" s="3">
        <v>34.200000000000003</v>
      </c>
    </row>
    <row r="1595" spans="2:4">
      <c r="B1595" s="144">
        <v>44043</v>
      </c>
      <c r="C1595" s="139">
        <v>0.29166666666666702</v>
      </c>
      <c r="D1595" s="3">
        <v>202.1</v>
      </c>
    </row>
    <row r="1596" spans="2:4">
      <c r="B1596" s="144">
        <v>44043</v>
      </c>
      <c r="C1596" s="139">
        <v>0.33333333333333298</v>
      </c>
      <c r="D1596" s="3">
        <v>258.89999999999998</v>
      </c>
    </row>
    <row r="1597" spans="2:4">
      <c r="B1597" s="144">
        <v>44043</v>
      </c>
      <c r="C1597" s="139">
        <v>0.375</v>
      </c>
      <c r="D1597" s="3">
        <v>252.9</v>
      </c>
    </row>
    <row r="1598" spans="2:4">
      <c r="B1598" s="144">
        <v>44043</v>
      </c>
      <c r="C1598" s="139">
        <v>0.41666666666666702</v>
      </c>
      <c r="D1598" s="3">
        <v>241.5</v>
      </c>
    </row>
    <row r="1599" spans="2:4">
      <c r="B1599" s="144">
        <v>44043</v>
      </c>
      <c r="C1599" s="139">
        <v>0.45833333333333298</v>
      </c>
      <c r="D1599" s="3">
        <v>261.7</v>
      </c>
    </row>
    <row r="1600" spans="2:4">
      <c r="B1600" s="144">
        <v>44043</v>
      </c>
      <c r="C1600" s="139">
        <v>0.5</v>
      </c>
      <c r="D1600" s="3">
        <v>267</v>
      </c>
    </row>
    <row r="1601" spans="2:4">
      <c r="B1601" s="144">
        <v>44043</v>
      </c>
      <c r="C1601" s="139">
        <v>0.54166666666666696</v>
      </c>
      <c r="D1601" s="3">
        <v>258.5</v>
      </c>
    </row>
    <row r="1602" spans="2:4">
      <c r="B1602" s="144">
        <v>44043</v>
      </c>
      <c r="C1602" s="139">
        <v>0.58333333333333304</v>
      </c>
      <c r="D1602" s="3">
        <v>248.8</v>
      </c>
    </row>
    <row r="1603" spans="2:4">
      <c r="B1603" s="144">
        <v>44043</v>
      </c>
      <c r="C1603" s="139">
        <v>0.625</v>
      </c>
      <c r="D1603" s="3">
        <v>231.9</v>
      </c>
    </row>
    <row r="1604" spans="2:4">
      <c r="B1604" s="144">
        <v>44043</v>
      </c>
      <c r="C1604" s="139">
        <v>0.66666666666666696</v>
      </c>
      <c r="D1604" s="3">
        <v>213.9</v>
      </c>
    </row>
    <row r="1605" spans="2:4">
      <c r="B1605" s="144">
        <v>44043</v>
      </c>
      <c r="C1605" s="139">
        <v>0.70833333333333304</v>
      </c>
      <c r="D1605" s="3">
        <v>128.5</v>
      </c>
    </row>
    <row r="1606" spans="2:4">
      <c r="B1606" s="144">
        <v>44043</v>
      </c>
      <c r="C1606" s="139">
        <v>0.75</v>
      </c>
      <c r="D1606" s="3">
        <v>0</v>
      </c>
    </row>
    <row r="1607" spans="2:4">
      <c r="B1607" s="144">
        <v>44043</v>
      </c>
      <c r="C1607" s="139">
        <v>0.79166666666666696</v>
      </c>
      <c r="D1607" s="3">
        <v>0</v>
      </c>
    </row>
    <row r="1608" spans="2:4">
      <c r="B1608" s="144">
        <v>44043</v>
      </c>
      <c r="C1608" s="139">
        <v>0.83333333333333304</v>
      </c>
      <c r="D1608" s="3">
        <v>0</v>
      </c>
    </row>
    <row r="1609" spans="2:4">
      <c r="B1609" s="144">
        <v>44043</v>
      </c>
      <c r="C1609" s="139">
        <v>0.875</v>
      </c>
      <c r="D1609" s="3">
        <v>0</v>
      </c>
    </row>
    <row r="1610" spans="2:4">
      <c r="B1610" s="144">
        <v>44043</v>
      </c>
      <c r="C1610" s="139">
        <v>0.91666666666666696</v>
      </c>
      <c r="D1610" s="3">
        <v>0</v>
      </c>
    </row>
    <row r="1611" spans="2:4">
      <c r="B1611" s="144">
        <v>44043</v>
      </c>
      <c r="C1611" s="139">
        <v>0.95833333333333304</v>
      </c>
      <c r="D1611" s="3">
        <v>0</v>
      </c>
    </row>
  </sheetData>
  <pageMargins left="0.7" right="0.7" top="0.75" bottom="0.75" header="0.3" footer="0.3"/>
  <pageSetup orientation="portrait"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550213-B3BD-42B3-ABC4-5F82150BDC5D}">
  <dimension ref="A4:I268"/>
  <sheetViews>
    <sheetView workbookViewId="0">
      <selection activeCell="E13" sqref="E13"/>
    </sheetView>
  </sheetViews>
  <sheetFormatPr defaultRowHeight="14.25"/>
  <cols>
    <col min="2" max="2" width="4.33203125" customWidth="1"/>
    <col min="3" max="3" width="24.6640625" customWidth="1"/>
    <col min="4" max="4" width="10.53125" customWidth="1"/>
    <col min="5" max="5" width="9" customWidth="1"/>
    <col min="6" max="6" width="16.265625" customWidth="1"/>
    <col min="7" max="7" width="11.86328125" customWidth="1"/>
    <col min="8" max="8" width="12.1328125" customWidth="1"/>
  </cols>
  <sheetData>
    <row r="4" spans="1:9" s="3" customFormat="1" ht="14.65" thickBot="1"/>
    <row r="5" spans="1:9" ht="43.5" customHeight="1" thickTop="1" thickBot="1">
      <c r="B5" s="108" t="s">
        <v>7</v>
      </c>
      <c r="C5" s="108" t="s">
        <v>429</v>
      </c>
      <c r="D5" s="108" t="s">
        <v>437</v>
      </c>
      <c r="E5" s="108" t="s">
        <v>438</v>
      </c>
      <c r="F5" s="108" t="s">
        <v>498</v>
      </c>
      <c r="G5" s="108" t="s">
        <v>499</v>
      </c>
      <c r="H5" s="108" t="s">
        <v>500</v>
      </c>
      <c r="I5" s="108"/>
    </row>
    <row r="6" spans="1:9" ht="28.9" thickTop="1">
      <c r="B6" s="67">
        <v>1</v>
      </c>
      <c r="C6" s="105" t="s">
        <v>430</v>
      </c>
      <c r="D6" s="67">
        <v>0</v>
      </c>
      <c r="E6" s="67">
        <v>0</v>
      </c>
      <c r="F6" s="67">
        <f>E6</f>
        <v>0</v>
      </c>
      <c r="G6" s="67"/>
      <c r="H6" s="67"/>
      <c r="I6" s="67"/>
    </row>
    <row r="7" spans="1:9" ht="28.5">
      <c r="B7" s="67">
        <v>2</v>
      </c>
      <c r="C7" s="105" t="s">
        <v>431</v>
      </c>
      <c r="D7" s="67">
        <v>1</v>
      </c>
      <c r="E7" s="67">
        <f>D61</f>
        <v>3509.21</v>
      </c>
      <c r="F7" s="67">
        <f t="shared" ref="F7:F12" si="0">F6+E7</f>
        <v>3509.21</v>
      </c>
      <c r="G7" s="110">
        <f>E61</f>
        <v>44.336136363636363</v>
      </c>
      <c r="H7" s="110">
        <f>F61</f>
        <v>4.3802272727272742</v>
      </c>
      <c r="I7" s="106" t="s">
        <v>879</v>
      </c>
    </row>
    <row r="8" spans="1:9" ht="28.5">
      <c r="B8" s="67">
        <v>3</v>
      </c>
      <c r="C8" s="105" t="s">
        <v>432</v>
      </c>
      <c r="D8" s="67">
        <v>2</v>
      </c>
      <c r="E8" s="67">
        <f>D90</f>
        <v>1047.18</v>
      </c>
      <c r="F8" s="67">
        <f t="shared" si="0"/>
        <v>4556.3900000000003</v>
      </c>
      <c r="G8" s="110">
        <f>E90</f>
        <v>30.839200000000002</v>
      </c>
      <c r="H8" s="67">
        <f>F90</f>
        <v>3.41</v>
      </c>
      <c r="I8" s="106" t="s">
        <v>876</v>
      </c>
    </row>
    <row r="9" spans="1:9" ht="28.5">
      <c r="B9" s="67">
        <v>4</v>
      </c>
      <c r="C9" s="105" t="s">
        <v>433</v>
      </c>
      <c r="D9" s="67">
        <v>3</v>
      </c>
      <c r="E9" s="67">
        <f>D111</f>
        <v>958.82</v>
      </c>
      <c r="F9" s="67">
        <f t="shared" si="0"/>
        <v>5515.21</v>
      </c>
      <c r="G9" s="110">
        <f>E111</f>
        <v>25.006470588235295</v>
      </c>
      <c r="H9" s="110">
        <f>F111</f>
        <v>3.597058823529411</v>
      </c>
      <c r="I9" s="106" t="s">
        <v>878</v>
      </c>
    </row>
    <row r="10" spans="1:9" ht="28.5">
      <c r="B10" s="67">
        <v>5</v>
      </c>
      <c r="C10" s="105" t="s">
        <v>434</v>
      </c>
      <c r="D10" s="67">
        <v>4</v>
      </c>
      <c r="E10" s="67">
        <f>D181</f>
        <v>4810.9600000000009</v>
      </c>
      <c r="F10" s="67">
        <f>F9+E10</f>
        <v>10326.170000000002</v>
      </c>
      <c r="G10" s="110">
        <f>E181</f>
        <v>23.987878787878788</v>
      </c>
      <c r="H10" s="110">
        <f>F181</f>
        <v>3.288484848484849</v>
      </c>
      <c r="I10" s="106" t="s">
        <v>877</v>
      </c>
    </row>
    <row r="11" spans="1:9" ht="28.5">
      <c r="B11" s="67">
        <v>6</v>
      </c>
      <c r="C11" s="105" t="s">
        <v>435</v>
      </c>
      <c r="D11" s="67">
        <v>5</v>
      </c>
      <c r="E11" s="67">
        <f>D267</f>
        <v>6337.8600000000006</v>
      </c>
      <c r="F11" s="67">
        <f t="shared" si="0"/>
        <v>16664.030000000002</v>
      </c>
      <c r="G11" s="110">
        <f>E267</f>
        <v>14.223780487804873</v>
      </c>
      <c r="H11" s="110">
        <f>F267</f>
        <v>3.0096341463414631</v>
      </c>
      <c r="I11" s="106" t="s">
        <v>880</v>
      </c>
    </row>
    <row r="12" spans="1:9" ht="28.9" thickBot="1">
      <c r="B12" s="67">
        <v>7</v>
      </c>
      <c r="C12" s="105" t="s">
        <v>436</v>
      </c>
      <c r="D12" s="67">
        <v>0</v>
      </c>
      <c r="E12" s="67">
        <v>0</v>
      </c>
      <c r="F12" s="67">
        <f t="shared" si="0"/>
        <v>16664.030000000002</v>
      </c>
      <c r="G12" s="67"/>
      <c r="H12" s="67"/>
      <c r="I12" s="67"/>
    </row>
    <row r="13" spans="1:9" s="3" customFormat="1" ht="15" thickTop="1" thickBot="1">
      <c r="B13" s="111"/>
      <c r="C13" s="112"/>
      <c r="D13" s="111"/>
      <c r="E13" s="111">
        <f>SUM(E6:E12)</f>
        <v>16664.030000000002</v>
      </c>
      <c r="F13" s="111"/>
      <c r="G13" s="113">
        <f>AVERAGE(G7:G11)</f>
        <v>27.678693245511067</v>
      </c>
      <c r="H13" s="113">
        <f>AVERAGE(H7:H11)</f>
        <v>3.5370810182165995</v>
      </c>
      <c r="I13" s="111"/>
    </row>
    <row r="14" spans="1:9" ht="14.65" thickTop="1"/>
    <row r="15" spans="1:9" ht="14.65" thickBot="1"/>
    <row r="16" spans="1:9" ht="29.25" thickTop="1" thickBot="1">
      <c r="A16" s="107" t="s">
        <v>439</v>
      </c>
      <c r="B16" s="108"/>
      <c r="C16" s="108" t="str">
        <f>C7</f>
        <v>Jembatan Sei Dama - Jembatan Perniagaan</v>
      </c>
      <c r="D16" s="108" t="s">
        <v>485</v>
      </c>
      <c r="E16" s="108" t="s">
        <v>486</v>
      </c>
      <c r="F16" s="108" t="s">
        <v>487</v>
      </c>
      <c r="G16" s="108"/>
      <c r="H16" s="108"/>
      <c r="I16" s="108"/>
    </row>
    <row r="17" spans="3:6" ht="14.65" thickTop="1">
      <c r="C17" s="67" t="s">
        <v>442</v>
      </c>
      <c r="D17" s="67">
        <v>94.08</v>
      </c>
      <c r="E17" s="67">
        <v>46.85</v>
      </c>
      <c r="F17" s="67">
        <f>2.42-(-2.64)</f>
        <v>5.0600000000000005</v>
      </c>
    </row>
    <row r="18" spans="3:6">
      <c r="C18" s="67" t="s">
        <v>441</v>
      </c>
      <c r="D18" s="67">
        <v>107.51</v>
      </c>
      <c r="E18" s="67">
        <v>49.43</v>
      </c>
      <c r="F18" s="67">
        <f>2.38-(-2.49)</f>
        <v>4.87</v>
      </c>
    </row>
    <row r="19" spans="3:6">
      <c r="C19" s="67" t="s">
        <v>443</v>
      </c>
      <c r="D19" s="67">
        <v>68.319999999999993</v>
      </c>
      <c r="E19" s="67">
        <v>46.28</v>
      </c>
      <c r="F19" s="67">
        <f>2.48-(-3.29)</f>
        <v>5.77</v>
      </c>
    </row>
    <row r="20" spans="3:6">
      <c r="C20" s="67" t="s">
        <v>444</v>
      </c>
      <c r="D20" s="67">
        <v>95.72</v>
      </c>
      <c r="E20" s="67">
        <v>42.93</v>
      </c>
      <c r="F20" s="67">
        <f>2.5-(-2.83)</f>
        <v>5.33</v>
      </c>
    </row>
    <row r="21" spans="3:6">
      <c r="C21" s="67" t="s">
        <v>445</v>
      </c>
      <c r="D21" s="67">
        <v>61.82</v>
      </c>
      <c r="E21" s="67">
        <v>41.67</v>
      </c>
      <c r="F21" s="67">
        <f>2.5-(-2.91)</f>
        <v>5.41</v>
      </c>
    </row>
    <row r="22" spans="3:6">
      <c r="C22" s="67" t="s">
        <v>446</v>
      </c>
      <c r="D22" s="67">
        <v>51.51</v>
      </c>
      <c r="E22" s="67">
        <v>42.2</v>
      </c>
      <c r="F22" s="67">
        <f>2.59-(-2.05)</f>
        <v>4.6399999999999997</v>
      </c>
    </row>
    <row r="23" spans="3:6">
      <c r="C23" s="67" t="s">
        <v>447</v>
      </c>
      <c r="D23" s="67">
        <v>75.28</v>
      </c>
      <c r="E23" s="67">
        <v>53.07</v>
      </c>
      <c r="F23" s="67">
        <f>2.85-(-1.93)</f>
        <v>4.78</v>
      </c>
    </row>
    <row r="24" spans="3:6">
      <c r="C24" s="67" t="s">
        <v>448</v>
      </c>
      <c r="D24" s="67">
        <v>64.22</v>
      </c>
      <c r="E24" s="67">
        <v>61.9</v>
      </c>
      <c r="F24" s="67">
        <f>2.74-(-2.3)</f>
        <v>5.04</v>
      </c>
    </row>
    <row r="25" spans="3:6">
      <c r="C25" s="67" t="s">
        <v>449</v>
      </c>
      <c r="D25" s="67">
        <v>55.7</v>
      </c>
      <c r="E25" s="67">
        <v>59.97</v>
      </c>
      <c r="F25" s="67">
        <f>3.19-(-1.98)</f>
        <v>5.17</v>
      </c>
    </row>
    <row r="26" spans="3:6">
      <c r="C26" s="67" t="s">
        <v>450</v>
      </c>
      <c r="D26" s="67">
        <v>116.91</v>
      </c>
      <c r="E26" s="67">
        <v>63.47</v>
      </c>
      <c r="F26" s="67">
        <f>2.83-(-2.12)</f>
        <v>4.95</v>
      </c>
    </row>
    <row r="27" spans="3:6">
      <c r="C27" s="67" t="s">
        <v>451</v>
      </c>
      <c r="D27" s="67">
        <v>78.3</v>
      </c>
      <c r="E27" s="67">
        <v>61.78</v>
      </c>
      <c r="F27" s="67">
        <f>2.8-(-1.82)</f>
        <v>4.62</v>
      </c>
    </row>
    <row r="28" spans="3:6">
      <c r="C28" s="67" t="s">
        <v>452</v>
      </c>
      <c r="D28" s="67">
        <v>85.84</v>
      </c>
      <c r="E28" s="67">
        <v>61.69</v>
      </c>
      <c r="F28" s="67">
        <f>2.86-(-1.99)</f>
        <v>4.8499999999999996</v>
      </c>
    </row>
    <row r="29" spans="3:6">
      <c r="C29" s="67" t="s">
        <v>453</v>
      </c>
      <c r="D29" s="67">
        <v>77.099999999999994</v>
      </c>
      <c r="E29" s="67">
        <v>62.97</v>
      </c>
      <c r="F29" s="67">
        <f>2.89-(-2.19)</f>
        <v>5.08</v>
      </c>
    </row>
    <row r="30" spans="3:6">
      <c r="C30" s="67" t="s">
        <v>454</v>
      </c>
      <c r="D30" s="67">
        <v>124.68</v>
      </c>
      <c r="E30" s="67">
        <v>64.099999999999994</v>
      </c>
      <c r="F30" s="67">
        <f>2.91-(-2.11)</f>
        <v>5.0199999999999996</v>
      </c>
    </row>
    <row r="31" spans="3:6">
      <c r="C31" s="67" t="s">
        <v>455</v>
      </c>
      <c r="D31" s="67">
        <v>63.31</v>
      </c>
      <c r="E31" s="67">
        <v>44.47</v>
      </c>
      <c r="F31" s="67">
        <f>2.81-(-2.54)</f>
        <v>5.35</v>
      </c>
    </row>
    <row r="32" spans="3:6">
      <c r="C32" s="67" t="s">
        <v>456</v>
      </c>
      <c r="D32" s="67">
        <v>84.95</v>
      </c>
      <c r="E32" s="67">
        <v>58.32</v>
      </c>
      <c r="F32" s="67">
        <f>2.81-(-2.54)</f>
        <v>5.35</v>
      </c>
    </row>
    <row r="33" spans="3:6">
      <c r="C33" s="67" t="s">
        <v>457</v>
      </c>
      <c r="D33" s="67">
        <v>61.55</v>
      </c>
      <c r="E33" s="67">
        <v>48.03</v>
      </c>
      <c r="F33" s="67">
        <f>2.75-(-2.73)</f>
        <v>5.48</v>
      </c>
    </row>
    <row r="34" spans="3:6">
      <c r="C34" s="67" t="s">
        <v>458</v>
      </c>
      <c r="D34" s="67">
        <v>61.3</v>
      </c>
      <c r="E34" s="67">
        <v>53.98</v>
      </c>
      <c r="F34" s="67">
        <f>2.63-(-2.94)</f>
        <v>5.57</v>
      </c>
    </row>
    <row r="35" spans="3:6">
      <c r="C35" s="67" t="s">
        <v>459</v>
      </c>
      <c r="D35" s="67">
        <v>67.010000000000005</v>
      </c>
      <c r="E35" s="67">
        <v>44.38</v>
      </c>
      <c r="F35" s="67">
        <f>2.69-(-2.66)</f>
        <v>5.35</v>
      </c>
    </row>
    <row r="36" spans="3:6">
      <c r="C36" s="67" t="s">
        <v>460</v>
      </c>
      <c r="D36" s="67">
        <v>76.239999999999995</v>
      </c>
      <c r="E36" s="67">
        <v>38.79</v>
      </c>
      <c r="F36" s="67">
        <f>2.63-(-1.74)</f>
        <v>4.37</v>
      </c>
    </row>
    <row r="37" spans="3:6">
      <c r="C37" s="67" t="s">
        <v>461</v>
      </c>
      <c r="D37" s="67">
        <v>129.63</v>
      </c>
      <c r="E37" s="67">
        <v>42.37</v>
      </c>
      <c r="F37" s="67">
        <f>2.53-(-1.3)</f>
        <v>3.83</v>
      </c>
    </row>
    <row r="38" spans="3:6">
      <c r="C38" s="67" t="s">
        <v>462</v>
      </c>
      <c r="D38" s="67">
        <v>139.13</v>
      </c>
      <c r="E38" s="67">
        <v>39.74</v>
      </c>
      <c r="F38" s="67">
        <f>2.5-(-2.09)</f>
        <v>4.59</v>
      </c>
    </row>
    <row r="39" spans="3:6">
      <c r="C39" s="67" t="s">
        <v>463</v>
      </c>
      <c r="D39" s="67">
        <v>194.9</v>
      </c>
      <c r="E39" s="67">
        <v>59.32</v>
      </c>
      <c r="F39" s="67">
        <f>1.94-(-1.95)</f>
        <v>3.8899999999999997</v>
      </c>
    </row>
    <row r="40" spans="3:6">
      <c r="C40" s="67" t="s">
        <v>464</v>
      </c>
      <c r="D40" s="67">
        <v>156.25</v>
      </c>
      <c r="E40" s="67">
        <v>68.900000000000006</v>
      </c>
      <c r="F40" s="67">
        <f>1.68-(-2.73)</f>
        <v>4.41</v>
      </c>
    </row>
    <row r="41" spans="3:6" s="3" customFormat="1">
      <c r="C41" s="67" t="s">
        <v>465</v>
      </c>
      <c r="D41" s="67">
        <v>62.83</v>
      </c>
      <c r="E41" s="67">
        <v>34.520000000000003</v>
      </c>
      <c r="F41" s="67">
        <f>1.99-(-2.75)</f>
        <v>4.74</v>
      </c>
    </row>
    <row r="42" spans="3:6" s="3" customFormat="1">
      <c r="C42" s="67" t="s">
        <v>466</v>
      </c>
      <c r="D42" s="67">
        <v>50.34</v>
      </c>
      <c r="E42" s="67">
        <v>30.18</v>
      </c>
      <c r="F42" s="67">
        <f>1.85-(-2.1)</f>
        <v>3.95</v>
      </c>
    </row>
    <row r="43" spans="3:6" s="3" customFormat="1">
      <c r="C43" s="67" t="s">
        <v>467</v>
      </c>
      <c r="D43" s="67">
        <v>80.790000000000006</v>
      </c>
      <c r="E43" s="67">
        <v>31.52</v>
      </c>
      <c r="F43" s="67">
        <f>1.83-(-2.04)</f>
        <v>3.87</v>
      </c>
    </row>
    <row r="44" spans="3:6" s="3" customFormat="1">
      <c r="C44" s="67" t="s">
        <v>468</v>
      </c>
      <c r="D44" s="67">
        <v>58.01</v>
      </c>
      <c r="E44" s="67">
        <v>32.67</v>
      </c>
      <c r="F44" s="67">
        <f>0.71-(-2.79)</f>
        <v>3.5</v>
      </c>
    </row>
    <row r="45" spans="3:6" s="3" customFormat="1">
      <c r="C45" s="67" t="s">
        <v>469</v>
      </c>
      <c r="D45" s="67">
        <v>51.59</v>
      </c>
      <c r="E45" s="67">
        <v>35.159999999999997</v>
      </c>
      <c r="F45" s="67">
        <f>1.87-(-2.48)</f>
        <v>4.3499999999999996</v>
      </c>
    </row>
    <row r="46" spans="3:6" s="3" customFormat="1">
      <c r="C46" s="67" t="s">
        <v>470</v>
      </c>
      <c r="D46" s="67">
        <v>73.430000000000007</v>
      </c>
      <c r="E46" s="67">
        <v>32.36</v>
      </c>
      <c r="F46" s="67">
        <f>1.58-(-2.28)</f>
        <v>3.86</v>
      </c>
    </row>
    <row r="47" spans="3:6" s="3" customFormat="1">
      <c r="C47" s="67" t="s">
        <v>471</v>
      </c>
      <c r="D47" s="67">
        <f>26.69+77.12+41.73</f>
        <v>145.54</v>
      </c>
      <c r="E47" s="67">
        <v>36.340000000000003</v>
      </c>
      <c r="F47" s="67">
        <f>1.88-(-2.1)</f>
        <v>3.98</v>
      </c>
    </row>
    <row r="48" spans="3:6" s="3" customFormat="1">
      <c r="C48" s="67" t="s">
        <v>472</v>
      </c>
      <c r="D48" s="67">
        <v>46.9</v>
      </c>
      <c r="E48" s="67">
        <v>78.05</v>
      </c>
      <c r="F48" s="67">
        <f>1-(-1.78)</f>
        <v>2.7800000000000002</v>
      </c>
    </row>
    <row r="49" spans="1:9" s="3" customFormat="1">
      <c r="C49" s="67" t="s">
        <v>473</v>
      </c>
      <c r="D49" s="67">
        <v>65.180000000000007</v>
      </c>
      <c r="E49" s="67">
        <v>30.04</v>
      </c>
      <c r="F49" s="67">
        <f>2.37-(-1.22)</f>
        <v>3.59</v>
      </c>
    </row>
    <row r="50" spans="1:9" s="3" customFormat="1">
      <c r="C50" s="67" t="s">
        <v>474</v>
      </c>
      <c r="D50" s="67">
        <v>79.41</v>
      </c>
      <c r="E50" s="67">
        <v>33.840000000000003</v>
      </c>
      <c r="F50" s="67">
        <f>1.8-(-0.86)</f>
        <v>2.66</v>
      </c>
    </row>
    <row r="51" spans="1:9" s="3" customFormat="1">
      <c r="C51" s="67" t="s">
        <v>475</v>
      </c>
      <c r="D51" s="67">
        <v>49.5</v>
      </c>
      <c r="E51" s="67">
        <v>27.78</v>
      </c>
      <c r="F51" s="67">
        <f>2.25-(-1.3)</f>
        <v>3.55</v>
      </c>
    </row>
    <row r="52" spans="1:9" s="3" customFormat="1">
      <c r="C52" s="67" t="s">
        <v>476</v>
      </c>
      <c r="D52" s="67">
        <v>46.05</v>
      </c>
      <c r="E52" s="67">
        <v>32.08</v>
      </c>
      <c r="F52" s="67">
        <f>2.13-(-1.66)</f>
        <v>3.79</v>
      </c>
    </row>
    <row r="53" spans="1:9" s="3" customFormat="1">
      <c r="C53" s="67" t="s">
        <v>477</v>
      </c>
      <c r="D53" s="67">
        <v>45.34</v>
      </c>
      <c r="E53" s="67">
        <v>22.97</v>
      </c>
      <c r="F53" s="67">
        <f>1.99-(-1.54)</f>
        <v>3.5300000000000002</v>
      </c>
    </row>
    <row r="54" spans="1:9" s="3" customFormat="1">
      <c r="C54" s="67" t="s">
        <v>479</v>
      </c>
      <c r="D54" s="67">
        <v>33.43</v>
      </c>
      <c r="E54" s="67">
        <v>33.46</v>
      </c>
      <c r="F54" s="67">
        <f>2.13-(-1.66)</f>
        <v>3.79</v>
      </c>
    </row>
    <row r="55" spans="1:9" s="3" customFormat="1">
      <c r="C55" s="67" t="s">
        <v>478</v>
      </c>
      <c r="D55" s="67">
        <v>81.209999999999994</v>
      </c>
      <c r="E55" s="67">
        <v>42.87</v>
      </c>
      <c r="F55" s="67">
        <f>2.02-(-1.66)</f>
        <v>3.6799999999999997</v>
      </c>
    </row>
    <row r="56" spans="1:9" s="3" customFormat="1">
      <c r="C56" s="67" t="s">
        <v>480</v>
      </c>
      <c r="D56" s="67">
        <v>95.87</v>
      </c>
      <c r="E56" s="67">
        <v>37.200000000000003</v>
      </c>
      <c r="F56" s="67">
        <f>1.71-(-2.15)</f>
        <v>3.86</v>
      </c>
    </row>
    <row r="57" spans="1:9" s="3" customFormat="1">
      <c r="C57" s="67" t="s">
        <v>481</v>
      </c>
      <c r="D57" s="67">
        <v>94.43</v>
      </c>
      <c r="E57" s="67">
        <v>29.78</v>
      </c>
      <c r="F57" s="67">
        <f>1.77-(-1.86)</f>
        <v>3.63</v>
      </c>
    </row>
    <row r="58" spans="1:9" s="3" customFormat="1">
      <c r="C58" s="67" t="s">
        <v>482</v>
      </c>
      <c r="D58" s="67">
        <v>46.84</v>
      </c>
      <c r="E58" s="67">
        <v>31.19</v>
      </c>
      <c r="F58" s="67">
        <f>2.19-(-1.61)</f>
        <v>3.8</v>
      </c>
    </row>
    <row r="59" spans="1:9" s="3" customFormat="1">
      <c r="C59" s="67" t="s">
        <v>483</v>
      </c>
      <c r="D59" s="67">
        <v>52.62</v>
      </c>
      <c r="E59" s="67">
        <v>29.66</v>
      </c>
      <c r="F59" s="67">
        <f>2.02-(-1.75)</f>
        <v>3.77</v>
      </c>
    </row>
    <row r="60" spans="1:9" s="3" customFormat="1" ht="14.65" thickBot="1">
      <c r="C60" s="67" t="s">
        <v>484</v>
      </c>
      <c r="D60" s="67">
        <v>58.64</v>
      </c>
      <c r="E60" s="67">
        <v>32.51</v>
      </c>
      <c r="F60" s="67">
        <f>2.07-(-1.2)</f>
        <v>3.2699999999999996</v>
      </c>
    </row>
    <row r="61" spans="1:9" ht="15" thickTop="1" thickBot="1">
      <c r="B61" s="109"/>
      <c r="C61" s="109"/>
      <c r="D61" s="111">
        <f>SUM(D17:D60)</f>
        <v>3509.21</v>
      </c>
      <c r="E61" s="113">
        <f>AVERAGE(E17:E60)</f>
        <v>44.336136363636363</v>
      </c>
      <c r="F61" s="113">
        <f>AVERAGE(F17:F60)</f>
        <v>4.3802272727272742</v>
      </c>
      <c r="G61" s="109"/>
      <c r="H61" s="109"/>
      <c r="I61" s="109"/>
    </row>
    <row r="62" spans="1:9" ht="14.65" thickTop="1"/>
    <row r="63" spans="1:9" ht="14.65" thickBot="1"/>
    <row r="64" spans="1:9" s="3" customFormat="1" ht="29.25" thickTop="1" thickBot="1">
      <c r="A64" s="107" t="s">
        <v>439</v>
      </c>
      <c r="B64" s="108"/>
      <c r="C64" s="108" t="str">
        <f>C8</f>
        <v>Jembatan Perniagaan - Jembatan S. Parman</v>
      </c>
      <c r="D64" s="108" t="s">
        <v>485</v>
      </c>
      <c r="E64" s="108" t="s">
        <v>486</v>
      </c>
      <c r="F64" s="108" t="s">
        <v>487</v>
      </c>
      <c r="G64" s="108"/>
      <c r="H64" s="108"/>
      <c r="I64" s="108"/>
    </row>
    <row r="65" spans="3:6" ht="14.65" thickTop="1">
      <c r="C65" s="67" t="s">
        <v>488</v>
      </c>
      <c r="D65" s="67">
        <f>25.28+33.16</f>
        <v>58.44</v>
      </c>
      <c r="E65" s="67">
        <v>30.34</v>
      </c>
      <c r="F65" s="67">
        <f>2.12-(-1.31)</f>
        <v>3.43</v>
      </c>
    </row>
    <row r="66" spans="3:6">
      <c r="C66" s="67" t="s">
        <v>489</v>
      </c>
      <c r="D66" s="67">
        <v>21.28</v>
      </c>
      <c r="E66" s="67">
        <v>28.91</v>
      </c>
      <c r="F66" s="67">
        <f>2.42-(-1.55)</f>
        <v>3.9699999999999998</v>
      </c>
    </row>
    <row r="67" spans="3:6">
      <c r="C67" s="67" t="s">
        <v>490</v>
      </c>
      <c r="D67" s="67">
        <v>55.78</v>
      </c>
      <c r="E67" s="67">
        <v>29.64</v>
      </c>
      <c r="F67" s="67">
        <f>1-(-2.31)</f>
        <v>3.31</v>
      </c>
    </row>
    <row r="68" spans="3:6">
      <c r="C68" s="67" t="s">
        <v>491</v>
      </c>
      <c r="D68" s="67">
        <v>101.07</v>
      </c>
      <c r="E68" s="67">
        <v>29.72</v>
      </c>
      <c r="F68" s="67">
        <f>1.1-(-1.85)</f>
        <v>2.95</v>
      </c>
    </row>
    <row r="69" spans="3:6">
      <c r="C69" s="67" t="s">
        <v>492</v>
      </c>
      <c r="D69" s="67">
        <v>34.76</v>
      </c>
      <c r="E69" s="67">
        <v>27.48</v>
      </c>
      <c r="F69" s="67">
        <f>2-(-2.11)</f>
        <v>4.1099999999999994</v>
      </c>
    </row>
    <row r="70" spans="3:6">
      <c r="C70" s="67" t="s">
        <v>493</v>
      </c>
      <c r="D70" s="67">
        <f>22.35+18.65+18.65</f>
        <v>59.65</v>
      </c>
      <c r="E70" s="67">
        <v>27.73</v>
      </c>
      <c r="F70" s="67">
        <f>1.1-(-1.81)</f>
        <v>2.91</v>
      </c>
    </row>
    <row r="71" spans="3:6">
      <c r="C71" s="67" t="s">
        <v>494</v>
      </c>
      <c r="D71" s="67">
        <v>25.44</v>
      </c>
      <c r="E71" s="67">
        <v>28.44</v>
      </c>
      <c r="F71" s="67">
        <f>1.76-(-1.8)</f>
        <v>3.56</v>
      </c>
    </row>
    <row r="72" spans="3:6">
      <c r="C72" s="67" t="s">
        <v>495</v>
      </c>
      <c r="D72" s="67">
        <v>27.36</v>
      </c>
      <c r="E72" s="67">
        <v>31.08</v>
      </c>
      <c r="F72" s="67">
        <f>1.9-(-1.71)</f>
        <v>3.61</v>
      </c>
    </row>
    <row r="73" spans="3:6">
      <c r="C73" s="67" t="s">
        <v>496</v>
      </c>
      <c r="D73" s="67">
        <v>30.38</v>
      </c>
      <c r="E73" s="67">
        <v>32.89</v>
      </c>
      <c r="F73" s="67">
        <f>1.9-(-1.55)</f>
        <v>3.45</v>
      </c>
    </row>
    <row r="74" spans="3:6">
      <c r="C74" s="67" t="s">
        <v>497</v>
      </c>
      <c r="D74" s="67">
        <v>22.42</v>
      </c>
      <c r="E74" s="67">
        <v>32.880000000000003</v>
      </c>
      <c r="F74" s="67">
        <f>1.89-(-1.3)</f>
        <v>3.19</v>
      </c>
    </row>
    <row r="75" spans="3:6">
      <c r="C75" s="67" t="s">
        <v>501</v>
      </c>
      <c r="D75" s="67">
        <v>32.33</v>
      </c>
      <c r="E75" s="67">
        <v>32.369999999999997</v>
      </c>
      <c r="F75" s="67">
        <f>1.63-(-1.54)</f>
        <v>3.17</v>
      </c>
    </row>
    <row r="76" spans="3:6">
      <c r="C76" s="67" t="s">
        <v>502</v>
      </c>
      <c r="D76" s="67">
        <v>19.82</v>
      </c>
      <c r="E76" s="67">
        <v>34.57</v>
      </c>
      <c r="F76" s="67">
        <f>1.14-(-2.43)</f>
        <v>3.5700000000000003</v>
      </c>
    </row>
    <row r="77" spans="3:6">
      <c r="C77" s="67" t="s">
        <v>503</v>
      </c>
      <c r="D77" s="67">
        <v>15.86</v>
      </c>
      <c r="E77" s="67">
        <v>33.299999999999997</v>
      </c>
      <c r="F77" s="67">
        <f>1.56-(-2.28)</f>
        <v>3.84</v>
      </c>
    </row>
    <row r="78" spans="3:6">
      <c r="C78" s="67" t="s">
        <v>504</v>
      </c>
      <c r="D78" s="67">
        <v>25.72</v>
      </c>
      <c r="E78" s="67">
        <v>28.22</v>
      </c>
      <c r="F78" s="67">
        <f>1.78-(-2.18)</f>
        <v>3.96</v>
      </c>
    </row>
    <row r="79" spans="3:6">
      <c r="C79" s="67" t="s">
        <v>505</v>
      </c>
      <c r="D79" s="67">
        <v>26.68</v>
      </c>
      <c r="E79" s="67">
        <v>25.8</v>
      </c>
      <c r="F79" s="67">
        <f>1.8-(-2.09)</f>
        <v>3.8899999999999997</v>
      </c>
    </row>
    <row r="80" spans="3:6">
      <c r="C80" s="67" t="s">
        <v>506</v>
      </c>
      <c r="D80" s="67">
        <v>50.45</v>
      </c>
      <c r="E80" s="67">
        <v>25.06</v>
      </c>
      <c r="F80" s="67">
        <f>1.47-(-2)</f>
        <v>3.4699999999999998</v>
      </c>
    </row>
    <row r="81" spans="1:9">
      <c r="C81" s="67" t="s">
        <v>507</v>
      </c>
      <c r="D81" s="67">
        <v>28.62</v>
      </c>
      <c r="E81" s="67">
        <v>28.7</v>
      </c>
      <c r="F81" s="67">
        <f>1.47-(-1.67)</f>
        <v>3.1399999999999997</v>
      </c>
    </row>
    <row r="82" spans="1:9">
      <c r="C82" s="67" t="s">
        <v>508</v>
      </c>
      <c r="D82" s="67">
        <v>38.11</v>
      </c>
      <c r="E82" s="67">
        <v>28.04</v>
      </c>
      <c r="F82" s="67">
        <f>1.82-(-1.58)</f>
        <v>3.4000000000000004</v>
      </c>
    </row>
    <row r="83" spans="1:9">
      <c r="C83" s="67" t="s">
        <v>509</v>
      </c>
      <c r="D83" s="67">
        <v>35.22</v>
      </c>
      <c r="E83" s="67">
        <v>33.07</v>
      </c>
      <c r="F83" s="67">
        <f>2.02-(-1.59)</f>
        <v>3.6100000000000003</v>
      </c>
    </row>
    <row r="84" spans="1:9">
      <c r="C84" s="67" t="s">
        <v>510</v>
      </c>
      <c r="D84" s="67">
        <v>31.59</v>
      </c>
      <c r="E84" s="67">
        <v>32.549999999999997</v>
      </c>
      <c r="F84" s="67">
        <f>1.38-(-1.97)</f>
        <v>3.3499999999999996</v>
      </c>
    </row>
    <row r="85" spans="1:9">
      <c r="C85" s="67" t="s">
        <v>511</v>
      </c>
      <c r="D85" s="67">
        <v>70.89</v>
      </c>
      <c r="E85" s="67">
        <v>30.78</v>
      </c>
      <c r="F85" s="67">
        <f>1.19-(-1.71)</f>
        <v>2.9</v>
      </c>
    </row>
    <row r="86" spans="1:9">
      <c r="C86" s="67" t="s">
        <v>512</v>
      </c>
      <c r="D86" s="67">
        <v>49.37</v>
      </c>
      <c r="E86" s="67">
        <v>35.57</v>
      </c>
      <c r="F86" s="67">
        <f>1.55-(-1.82)</f>
        <v>3.37</v>
      </c>
    </row>
    <row r="87" spans="1:9">
      <c r="C87" s="67" t="s">
        <v>513</v>
      </c>
      <c r="D87" s="67">
        <v>52.77</v>
      </c>
      <c r="E87" s="67">
        <v>34.4</v>
      </c>
      <c r="F87" s="67">
        <f>1.76-(-1.76)</f>
        <v>3.52</v>
      </c>
    </row>
    <row r="88" spans="1:9">
      <c r="C88" s="67" t="s">
        <v>514</v>
      </c>
      <c r="D88" s="67">
        <v>59.78</v>
      </c>
      <c r="E88" s="67">
        <v>34.49</v>
      </c>
      <c r="F88" s="67">
        <f>0.72-(-1.87)</f>
        <v>2.59</v>
      </c>
    </row>
    <row r="89" spans="1:9" ht="14.65" thickBot="1">
      <c r="C89" s="67" t="s">
        <v>515</v>
      </c>
      <c r="D89" s="67">
        <v>73.39</v>
      </c>
      <c r="E89" s="67">
        <v>34.950000000000003</v>
      </c>
      <c r="F89" s="67">
        <f>1.21-(-1.77)</f>
        <v>2.98</v>
      </c>
    </row>
    <row r="90" spans="1:9" ht="15" thickTop="1" thickBot="1">
      <c r="B90" s="109"/>
      <c r="C90" s="114"/>
      <c r="D90" s="111">
        <f>SUM(D65:D89)</f>
        <v>1047.18</v>
      </c>
      <c r="E90" s="113">
        <f>AVERAGE(E65:E89)</f>
        <v>30.839200000000002</v>
      </c>
      <c r="F90" s="111">
        <f>AVERAGE(F65:F89)</f>
        <v>3.41</v>
      </c>
      <c r="G90" s="109"/>
      <c r="H90" s="109"/>
      <c r="I90" s="109"/>
    </row>
    <row r="91" spans="1:9" ht="14.65" thickTop="1">
      <c r="C91" s="67"/>
      <c r="D91" s="67"/>
      <c r="E91" s="67"/>
      <c r="F91" s="67"/>
    </row>
    <row r="92" spans="1:9" ht="14.65" thickBot="1">
      <c r="C92" s="67"/>
      <c r="D92" s="67"/>
      <c r="E92" s="67"/>
      <c r="F92" s="67"/>
    </row>
    <row r="93" spans="1:9" s="3" customFormat="1" ht="29.25" thickTop="1" thickBot="1">
      <c r="A93" s="107" t="s">
        <v>439</v>
      </c>
      <c r="B93" s="108"/>
      <c r="C93" s="108" t="str">
        <f>C9</f>
        <v>Jembatan S. Parman - Jembatan Gelatik</v>
      </c>
      <c r="D93" s="108" t="s">
        <v>485</v>
      </c>
      <c r="E93" s="108" t="s">
        <v>486</v>
      </c>
      <c r="F93" s="108" t="s">
        <v>487</v>
      </c>
      <c r="G93" s="108"/>
      <c r="H93" s="108"/>
      <c r="I93" s="108"/>
    </row>
    <row r="94" spans="1:9" ht="14.65" thickTop="1">
      <c r="C94" s="67" t="s">
        <v>516</v>
      </c>
      <c r="D94" s="67">
        <v>48.23</v>
      </c>
      <c r="E94" s="67">
        <v>30.86</v>
      </c>
      <c r="F94" s="67">
        <f>1.09-(-1.66)</f>
        <v>2.75</v>
      </c>
    </row>
    <row r="95" spans="1:9">
      <c r="C95" s="67" t="s">
        <v>517</v>
      </c>
      <c r="D95" s="67">
        <v>57.32</v>
      </c>
      <c r="E95" s="67">
        <v>24.17</v>
      </c>
      <c r="F95" s="67">
        <f>1.45-(-1.6)</f>
        <v>3.05</v>
      </c>
    </row>
    <row r="96" spans="1:9">
      <c r="C96" s="67" t="s">
        <v>518</v>
      </c>
      <c r="D96" s="67">
        <v>31.01</v>
      </c>
      <c r="E96" s="67">
        <v>21.03</v>
      </c>
      <c r="F96" s="67">
        <f>1.6-(-1.61)</f>
        <v>3.21</v>
      </c>
    </row>
    <row r="97" spans="2:9">
      <c r="C97" s="67" t="s">
        <v>519</v>
      </c>
      <c r="D97" s="67">
        <v>82.26</v>
      </c>
      <c r="E97" s="67">
        <v>25.75</v>
      </c>
      <c r="F97" s="67">
        <f>1.53-(-1.59)</f>
        <v>3.12</v>
      </c>
    </row>
    <row r="98" spans="2:9">
      <c r="C98" s="67" t="s">
        <v>520</v>
      </c>
      <c r="D98" s="67">
        <v>63.28</v>
      </c>
      <c r="E98" s="67">
        <v>27.3</v>
      </c>
      <c r="F98" s="67">
        <f>2.33-(-1.78)</f>
        <v>4.1100000000000003</v>
      </c>
    </row>
    <row r="99" spans="2:9">
      <c r="C99" s="67" t="s">
        <v>521</v>
      </c>
      <c r="D99" s="67">
        <v>49.31</v>
      </c>
      <c r="E99" s="67">
        <v>29.92</v>
      </c>
      <c r="F99" s="67">
        <f>1.71-(-1.76)</f>
        <v>3.4699999999999998</v>
      </c>
    </row>
    <row r="100" spans="2:9">
      <c r="C100" s="67" t="s">
        <v>522</v>
      </c>
      <c r="D100" s="67">
        <v>34.57</v>
      </c>
      <c r="E100" s="67">
        <v>23.98</v>
      </c>
      <c r="F100" s="67">
        <f>2.25-(-1.78)</f>
        <v>4.03</v>
      </c>
    </row>
    <row r="101" spans="2:9">
      <c r="C101" s="67" t="s">
        <v>523</v>
      </c>
      <c r="D101" s="67">
        <v>27.48</v>
      </c>
      <c r="E101" s="67">
        <v>26.17</v>
      </c>
      <c r="F101" s="67">
        <f>1.71-(-1.69)</f>
        <v>3.4</v>
      </c>
    </row>
    <row r="102" spans="2:9">
      <c r="C102" s="67" t="s">
        <v>524</v>
      </c>
      <c r="D102" s="67">
        <v>65.63</v>
      </c>
      <c r="E102" s="67">
        <v>25.27</v>
      </c>
      <c r="F102" s="67">
        <f>1.28-(-1.6)</f>
        <v>2.88</v>
      </c>
    </row>
    <row r="103" spans="2:9">
      <c r="C103" s="67" t="s">
        <v>525</v>
      </c>
      <c r="D103" s="67">
        <v>79.17</v>
      </c>
      <c r="E103" s="67">
        <v>25.33</v>
      </c>
      <c r="F103" s="67">
        <f>0.16-(-1.82)</f>
        <v>1.98</v>
      </c>
    </row>
    <row r="104" spans="2:9">
      <c r="C104" s="67" t="s">
        <v>526</v>
      </c>
      <c r="D104" s="67">
        <v>62.94</v>
      </c>
      <c r="E104" s="67">
        <v>25.2</v>
      </c>
      <c r="F104" s="67">
        <f>2.1-(-1.89)</f>
        <v>3.99</v>
      </c>
    </row>
    <row r="105" spans="2:9">
      <c r="C105" s="67" t="s">
        <v>527</v>
      </c>
      <c r="D105" s="67">
        <v>49.05</v>
      </c>
      <c r="E105" s="67">
        <v>22.95</v>
      </c>
      <c r="F105" s="67">
        <f>2.94-(-1.47)</f>
        <v>4.41</v>
      </c>
    </row>
    <row r="106" spans="2:9">
      <c r="C106" s="67" t="s">
        <v>528</v>
      </c>
      <c r="D106" s="67">
        <v>53.55</v>
      </c>
      <c r="E106" s="67">
        <v>24.76</v>
      </c>
      <c r="F106" s="67">
        <f>2.2-(-1.41)</f>
        <v>3.6100000000000003</v>
      </c>
    </row>
    <row r="107" spans="2:9">
      <c r="C107" s="67" t="s">
        <v>529</v>
      </c>
      <c r="D107" s="67">
        <v>58.58</v>
      </c>
      <c r="E107" s="67">
        <v>25.52</v>
      </c>
      <c r="F107" s="67">
        <f>2.73-(-1.39)</f>
        <v>4.12</v>
      </c>
    </row>
    <row r="108" spans="2:9">
      <c r="C108" s="67" t="s">
        <v>530</v>
      </c>
      <c r="D108" s="67">
        <v>61.46</v>
      </c>
      <c r="E108" s="67">
        <v>26.19</v>
      </c>
      <c r="F108" s="67">
        <f>2.73-(-1.55)</f>
        <v>4.28</v>
      </c>
    </row>
    <row r="109" spans="2:9">
      <c r="C109" s="67" t="s">
        <v>531</v>
      </c>
      <c r="D109" s="67">
        <v>58.57</v>
      </c>
      <c r="E109" s="67">
        <v>21.47</v>
      </c>
      <c r="F109" s="67">
        <f>2.43-(-1.91)</f>
        <v>4.34</v>
      </c>
    </row>
    <row r="110" spans="2:9" ht="14.65" thickBot="1">
      <c r="C110" s="67" t="s">
        <v>532</v>
      </c>
      <c r="D110" s="67">
        <v>76.41</v>
      </c>
      <c r="E110" s="67">
        <v>19.239999999999998</v>
      </c>
      <c r="F110" s="67">
        <f>2.47-(-1.93)</f>
        <v>4.4000000000000004</v>
      </c>
    </row>
    <row r="111" spans="2:9" ht="15" thickTop="1" thickBot="1">
      <c r="B111" s="109"/>
      <c r="C111" s="114"/>
      <c r="D111" s="111">
        <f>SUM(D94:D110)</f>
        <v>958.82</v>
      </c>
      <c r="E111" s="113">
        <f>AVERAGE(E94:E110)</f>
        <v>25.006470588235295</v>
      </c>
      <c r="F111" s="113">
        <f>AVERAGE(F94:F110)</f>
        <v>3.597058823529411</v>
      </c>
      <c r="G111" s="109"/>
      <c r="H111" s="109"/>
      <c r="I111" s="109"/>
    </row>
    <row r="112" spans="2:9" ht="14.65" thickTop="1">
      <c r="C112" s="67"/>
      <c r="D112" s="67"/>
      <c r="E112" s="67"/>
      <c r="F112" s="67"/>
    </row>
    <row r="113" spans="1:9" ht="14.65" thickBot="1">
      <c r="C113" s="67"/>
      <c r="D113" s="67"/>
      <c r="E113" s="67"/>
      <c r="F113" s="67"/>
    </row>
    <row r="114" spans="1:9" s="3" customFormat="1" ht="29.25" thickTop="1" thickBot="1">
      <c r="A114" s="107" t="s">
        <v>439</v>
      </c>
      <c r="B114" s="108"/>
      <c r="C114" s="108" t="str">
        <f>C10</f>
        <v>Jembatan Gelatik - Jembatan Lempake</v>
      </c>
      <c r="D114" s="108" t="s">
        <v>485</v>
      </c>
      <c r="E114" s="108" t="s">
        <v>486</v>
      </c>
      <c r="F114" s="108" t="s">
        <v>487</v>
      </c>
      <c r="G114" s="108"/>
      <c r="H114" s="108"/>
      <c r="I114" s="108"/>
    </row>
    <row r="115" spans="1:9" ht="14.65" thickTop="1">
      <c r="C115" s="67" t="s">
        <v>533</v>
      </c>
      <c r="D115" s="67">
        <v>126.45</v>
      </c>
      <c r="E115" s="67">
        <v>24.2</v>
      </c>
      <c r="F115" s="67">
        <f>2.2-(-2.17)</f>
        <v>4.37</v>
      </c>
    </row>
    <row r="116" spans="1:9">
      <c r="C116" s="67" t="s">
        <v>534</v>
      </c>
      <c r="D116" s="67">
        <v>51.16</v>
      </c>
      <c r="E116" s="67">
        <v>35</v>
      </c>
      <c r="F116" s="67">
        <f>2.75-(-3.01)</f>
        <v>5.76</v>
      </c>
    </row>
    <row r="117" spans="1:9">
      <c r="C117" s="67" t="s">
        <v>535</v>
      </c>
      <c r="D117" s="67">
        <v>48.24</v>
      </c>
      <c r="E117" s="67">
        <v>31.95</v>
      </c>
      <c r="F117" s="67">
        <f>1.37-(-2.8)</f>
        <v>4.17</v>
      </c>
    </row>
    <row r="118" spans="1:9">
      <c r="C118" s="67" t="s">
        <v>536</v>
      </c>
      <c r="D118" s="67">
        <v>63.85</v>
      </c>
      <c r="E118" s="67">
        <v>33.130000000000003</v>
      </c>
      <c r="F118" s="67">
        <f>1.67-(-2.55)</f>
        <v>4.22</v>
      </c>
    </row>
    <row r="119" spans="1:9">
      <c r="C119" s="67" t="s">
        <v>537</v>
      </c>
      <c r="D119" s="67">
        <v>25.47</v>
      </c>
      <c r="E119" s="67">
        <v>25.01</v>
      </c>
      <c r="F119" s="67">
        <f>2.86-(-2.22)</f>
        <v>5.08</v>
      </c>
    </row>
    <row r="120" spans="1:9">
      <c r="C120" s="67" t="s">
        <v>538</v>
      </c>
      <c r="D120" s="67">
        <v>53.22</v>
      </c>
      <c r="E120" s="67">
        <v>25.01</v>
      </c>
      <c r="F120" s="67">
        <f>3.34-(-2.06)</f>
        <v>5.4</v>
      </c>
    </row>
    <row r="121" spans="1:9">
      <c r="C121" s="67" t="s">
        <v>539</v>
      </c>
      <c r="D121" s="67">
        <v>54.47</v>
      </c>
      <c r="E121" s="67">
        <v>36.32</v>
      </c>
      <c r="F121" s="67">
        <f>1.27-(-2.09)</f>
        <v>3.36</v>
      </c>
    </row>
    <row r="122" spans="1:9">
      <c r="C122" s="67" t="s">
        <v>540</v>
      </c>
      <c r="D122" s="67">
        <v>68.790000000000006</v>
      </c>
      <c r="E122" s="67">
        <v>37.18</v>
      </c>
      <c r="F122" s="67">
        <f>2.17-(-1.14)</f>
        <v>3.3099999999999996</v>
      </c>
    </row>
    <row r="123" spans="1:9">
      <c r="C123" s="67" t="s">
        <v>541</v>
      </c>
      <c r="D123" s="67">
        <v>46.88</v>
      </c>
      <c r="E123" s="67">
        <v>31.88</v>
      </c>
      <c r="F123" s="67">
        <f>2.72-(-1.24)</f>
        <v>3.96</v>
      </c>
    </row>
    <row r="124" spans="1:9">
      <c r="C124" s="67" t="s">
        <v>542</v>
      </c>
      <c r="D124" s="67">
        <v>50.78</v>
      </c>
      <c r="E124" s="67">
        <v>30.32</v>
      </c>
      <c r="F124" s="67">
        <f>2.36-(-1.44)</f>
        <v>3.8</v>
      </c>
    </row>
    <row r="125" spans="1:9">
      <c r="C125" s="67" t="s">
        <v>543</v>
      </c>
      <c r="D125" s="67">
        <v>23.96</v>
      </c>
      <c r="E125" s="67">
        <v>28.92</v>
      </c>
      <c r="F125" s="67">
        <f>2.1-(-2.03)</f>
        <v>4.13</v>
      </c>
    </row>
    <row r="126" spans="1:9">
      <c r="C126" s="67" t="s">
        <v>544</v>
      </c>
      <c r="D126" s="67">
        <v>81.37</v>
      </c>
      <c r="E126" s="67">
        <v>31.47</v>
      </c>
      <c r="F126" s="67">
        <f>2.19-(-2.16)</f>
        <v>4.3499999999999996</v>
      </c>
    </row>
    <row r="127" spans="1:9">
      <c r="C127" s="67" t="s">
        <v>545</v>
      </c>
      <c r="D127" s="67">
        <v>85.87</v>
      </c>
      <c r="E127" s="67">
        <v>35.700000000000003</v>
      </c>
      <c r="F127" s="67">
        <f>2.06-(-1.63)</f>
        <v>3.69</v>
      </c>
    </row>
    <row r="128" spans="1:9" s="3" customFormat="1">
      <c r="C128" s="67" t="s">
        <v>556</v>
      </c>
      <c r="D128" s="67">
        <v>28.35</v>
      </c>
      <c r="E128" s="67">
        <v>31.14</v>
      </c>
      <c r="F128" s="67">
        <f>1.97-(-0.77)</f>
        <v>2.74</v>
      </c>
    </row>
    <row r="129" spans="3:6">
      <c r="C129" s="67" t="s">
        <v>546</v>
      </c>
      <c r="D129" s="67">
        <v>48.61</v>
      </c>
      <c r="E129" s="67">
        <v>30.6</v>
      </c>
      <c r="F129" s="67">
        <f>2.22-(-0.16)</f>
        <v>2.3800000000000003</v>
      </c>
    </row>
    <row r="130" spans="3:6">
      <c r="C130" s="67" t="s">
        <v>547</v>
      </c>
      <c r="D130" s="67">
        <v>85</v>
      </c>
      <c r="E130" s="67">
        <v>33.99</v>
      </c>
      <c r="F130" s="67">
        <f>2.07-(-0.96)</f>
        <v>3.03</v>
      </c>
    </row>
    <row r="131" spans="3:6">
      <c r="C131" s="67" t="s">
        <v>548</v>
      </c>
      <c r="D131" s="67">
        <v>31.64</v>
      </c>
      <c r="E131" s="67">
        <v>22.64</v>
      </c>
      <c r="F131" s="67">
        <f>1.85-(-1.49)</f>
        <v>3.34</v>
      </c>
    </row>
    <row r="132" spans="3:6">
      <c r="C132" s="67" t="s">
        <v>549</v>
      </c>
      <c r="D132" s="67">
        <v>41.03</v>
      </c>
      <c r="E132" s="67">
        <v>25.67</v>
      </c>
      <c r="F132" s="67">
        <f>1.69-(-1.51)</f>
        <v>3.2</v>
      </c>
    </row>
    <row r="133" spans="3:6">
      <c r="C133" s="67" t="s">
        <v>550</v>
      </c>
      <c r="D133" s="67">
        <v>49.66</v>
      </c>
      <c r="E133" s="67">
        <v>22.09</v>
      </c>
      <c r="F133" s="67">
        <f>1.1-(-1.45)</f>
        <v>2.5499999999999998</v>
      </c>
    </row>
    <row r="134" spans="3:6">
      <c r="C134" s="67" t="s">
        <v>551</v>
      </c>
      <c r="D134" s="67">
        <v>63.3</v>
      </c>
      <c r="E134" s="67">
        <v>21.39</v>
      </c>
      <c r="F134" s="67">
        <f>1.43-(-1.4)</f>
        <v>2.83</v>
      </c>
    </row>
    <row r="135" spans="3:6">
      <c r="C135" s="67" t="s">
        <v>552</v>
      </c>
      <c r="D135" s="67">
        <v>49.13</v>
      </c>
      <c r="E135" s="67">
        <v>28.91</v>
      </c>
      <c r="F135" s="67">
        <f>1.29-(-1.31)</f>
        <v>2.6</v>
      </c>
    </row>
    <row r="136" spans="3:6">
      <c r="C136" s="67" t="s">
        <v>553</v>
      </c>
      <c r="D136" s="67">
        <v>34.94</v>
      </c>
      <c r="E136" s="67">
        <v>25.78</v>
      </c>
      <c r="F136" s="67">
        <f>1.08-(-1.06)</f>
        <v>2.14</v>
      </c>
    </row>
    <row r="137" spans="3:6">
      <c r="C137" s="67" t="s">
        <v>554</v>
      </c>
      <c r="D137" s="67">
        <v>29.06</v>
      </c>
      <c r="E137" s="67">
        <v>28.18</v>
      </c>
      <c r="F137" s="67">
        <f>0.75-(-1.86)</f>
        <v>2.6100000000000003</v>
      </c>
    </row>
    <row r="138" spans="3:6">
      <c r="C138" s="67" t="s">
        <v>555</v>
      </c>
      <c r="D138" s="67">
        <v>55.28</v>
      </c>
      <c r="E138" s="67">
        <v>43.4</v>
      </c>
      <c r="F138" s="67">
        <f>1.58-(-1.32)</f>
        <v>2.9000000000000004</v>
      </c>
    </row>
    <row r="139" spans="3:6" s="3" customFormat="1">
      <c r="C139" s="67" t="s">
        <v>557</v>
      </c>
      <c r="D139" s="67">
        <v>37.65</v>
      </c>
      <c r="E139" s="67">
        <v>25.23</v>
      </c>
      <c r="F139" s="67">
        <f>1.4-(-1.88)</f>
        <v>3.28</v>
      </c>
    </row>
    <row r="140" spans="3:6" s="3" customFormat="1">
      <c r="C140" s="67" t="s">
        <v>558</v>
      </c>
      <c r="D140" s="67">
        <v>75.8</v>
      </c>
      <c r="E140" s="67">
        <v>21.15</v>
      </c>
      <c r="F140" s="67">
        <f>1.27-(-2.27)</f>
        <v>3.54</v>
      </c>
    </row>
    <row r="141" spans="3:6" s="3" customFormat="1">
      <c r="C141" s="67" t="s">
        <v>559</v>
      </c>
      <c r="D141" s="67">
        <v>75.89</v>
      </c>
      <c r="E141" s="67">
        <v>15.97</v>
      </c>
      <c r="F141" s="67">
        <f>1.02-(-1.73)</f>
        <v>2.75</v>
      </c>
    </row>
    <row r="142" spans="3:6" s="3" customFormat="1">
      <c r="C142" s="67" t="s">
        <v>560</v>
      </c>
      <c r="D142" s="67">
        <v>15.03</v>
      </c>
      <c r="E142" s="67">
        <v>16.86</v>
      </c>
      <c r="F142" s="67">
        <f>1.37-(-1.65)</f>
        <v>3.02</v>
      </c>
    </row>
    <row r="143" spans="3:6" s="3" customFormat="1">
      <c r="C143" s="67" t="s">
        <v>561</v>
      </c>
      <c r="D143" s="67">
        <v>38.89</v>
      </c>
      <c r="E143" s="67">
        <v>20.079999999999998</v>
      </c>
      <c r="F143" s="67">
        <f>1.7-(-1.43)</f>
        <v>3.13</v>
      </c>
    </row>
    <row r="144" spans="3:6" s="3" customFormat="1">
      <c r="C144" s="67" t="s">
        <v>562</v>
      </c>
      <c r="D144" s="67">
        <v>50.57</v>
      </c>
      <c r="E144" s="67">
        <v>16.11</v>
      </c>
      <c r="F144" s="67">
        <f>2.04-(-1.01)</f>
        <v>3.05</v>
      </c>
    </row>
    <row r="145" spans="3:6" s="3" customFormat="1">
      <c r="C145" s="67" t="s">
        <v>563</v>
      </c>
      <c r="D145" s="67">
        <v>86.75</v>
      </c>
      <c r="E145" s="67">
        <v>20</v>
      </c>
      <c r="F145" s="67">
        <f>1.27-(-0.93)</f>
        <v>2.2000000000000002</v>
      </c>
    </row>
    <row r="146" spans="3:6" s="3" customFormat="1">
      <c r="C146" s="67" t="s">
        <v>564</v>
      </c>
      <c r="D146" s="67">
        <v>138.5</v>
      </c>
      <c r="E146" s="67">
        <v>24.44</v>
      </c>
      <c r="F146" s="67">
        <f>1.26-(-1.08)</f>
        <v>2.34</v>
      </c>
    </row>
    <row r="147" spans="3:6" s="3" customFormat="1">
      <c r="C147" s="67" t="s">
        <v>565</v>
      </c>
      <c r="D147" s="67">
        <v>78.77</v>
      </c>
      <c r="E147" s="67">
        <v>28.32</v>
      </c>
      <c r="F147" s="67">
        <f>1.69-(-0.88)</f>
        <v>2.57</v>
      </c>
    </row>
    <row r="148" spans="3:6" s="3" customFormat="1">
      <c r="C148" s="67" t="s">
        <v>566</v>
      </c>
      <c r="D148" s="67">
        <v>72.47</v>
      </c>
      <c r="E148" s="67">
        <v>24.25</v>
      </c>
      <c r="F148" s="67">
        <f>2.17-(-0.32)</f>
        <v>2.4899999999999998</v>
      </c>
    </row>
    <row r="149" spans="3:6" s="3" customFormat="1">
      <c r="C149" s="67" t="s">
        <v>567</v>
      </c>
      <c r="D149" s="67">
        <v>69.38</v>
      </c>
      <c r="E149" s="67">
        <v>24.61</v>
      </c>
      <c r="F149" s="67">
        <f>2.27-(-0.47)</f>
        <v>2.74</v>
      </c>
    </row>
    <row r="150" spans="3:6" s="3" customFormat="1">
      <c r="C150" s="67" t="s">
        <v>568</v>
      </c>
      <c r="D150" s="67">
        <v>75.41</v>
      </c>
      <c r="E150" s="67">
        <v>25</v>
      </c>
      <c r="F150" s="67">
        <f>2.51-(-0.4)</f>
        <v>2.9099999999999997</v>
      </c>
    </row>
    <row r="151" spans="3:6" s="3" customFormat="1">
      <c r="C151" s="67" t="s">
        <v>569</v>
      </c>
      <c r="D151" s="67">
        <v>89.89</v>
      </c>
      <c r="E151" s="67">
        <v>16.09</v>
      </c>
      <c r="F151" s="67">
        <f>2.81-(-0.07)</f>
        <v>2.88</v>
      </c>
    </row>
    <row r="152" spans="3:6" s="3" customFormat="1">
      <c r="C152" s="67" t="s">
        <v>570</v>
      </c>
      <c r="D152" s="67">
        <v>105.92</v>
      </c>
      <c r="E152" s="67">
        <v>22.26</v>
      </c>
      <c r="F152" s="67">
        <f>2.57-(-0.4)</f>
        <v>2.9699999999999998</v>
      </c>
    </row>
    <row r="153" spans="3:6" s="3" customFormat="1">
      <c r="C153" s="67" t="s">
        <v>571</v>
      </c>
      <c r="D153" s="67">
        <v>26.25</v>
      </c>
      <c r="E153" s="67">
        <v>25.77</v>
      </c>
      <c r="F153" s="67">
        <f>2.59-(-0.63)</f>
        <v>3.2199999999999998</v>
      </c>
    </row>
    <row r="154" spans="3:6" s="3" customFormat="1">
      <c r="C154" s="67" t="s">
        <v>572</v>
      </c>
      <c r="D154" s="67">
        <v>73.05</v>
      </c>
      <c r="E154" s="67">
        <v>20.86</v>
      </c>
      <c r="F154" s="67">
        <f>2.45-(-0.53)</f>
        <v>2.9800000000000004</v>
      </c>
    </row>
    <row r="155" spans="3:6" s="3" customFormat="1">
      <c r="C155" s="67" t="s">
        <v>573</v>
      </c>
      <c r="D155" s="67">
        <v>90.55</v>
      </c>
      <c r="E155" s="67">
        <v>19.59</v>
      </c>
      <c r="F155" s="67">
        <f>2.43-(-0.26)</f>
        <v>2.6900000000000004</v>
      </c>
    </row>
    <row r="156" spans="3:6" s="3" customFormat="1">
      <c r="C156" s="67" t="s">
        <v>574</v>
      </c>
      <c r="D156" s="67">
        <v>54.33</v>
      </c>
      <c r="E156" s="67">
        <v>21.27</v>
      </c>
      <c r="F156" s="67">
        <f>4.36-(0.06)</f>
        <v>4.3000000000000007</v>
      </c>
    </row>
    <row r="157" spans="3:6" s="3" customFormat="1">
      <c r="C157" s="67" t="s">
        <v>575</v>
      </c>
      <c r="D157" s="67">
        <v>70.38</v>
      </c>
      <c r="E157" s="67">
        <v>22.33</v>
      </c>
      <c r="F157" s="67">
        <f>2.43-(-1.06)</f>
        <v>3.49</v>
      </c>
    </row>
    <row r="158" spans="3:6" s="3" customFormat="1">
      <c r="C158" s="67" t="s">
        <v>576</v>
      </c>
      <c r="D158" s="67">
        <v>57.77</v>
      </c>
      <c r="E158" s="67">
        <v>26.47</v>
      </c>
      <c r="F158" s="67">
        <f>1.8-(-1.45)</f>
        <v>3.25</v>
      </c>
    </row>
    <row r="159" spans="3:6" s="3" customFormat="1">
      <c r="C159" s="67" t="s">
        <v>577</v>
      </c>
      <c r="D159" s="67">
        <v>94.4</v>
      </c>
      <c r="E159" s="67">
        <v>24.01</v>
      </c>
      <c r="F159" s="67">
        <f>1.91-(-0.74)</f>
        <v>2.65</v>
      </c>
    </row>
    <row r="160" spans="3:6" s="3" customFormat="1">
      <c r="C160" s="67" t="s">
        <v>578</v>
      </c>
      <c r="D160" s="67">
        <v>129.79</v>
      </c>
      <c r="E160" s="67">
        <v>20.45</v>
      </c>
      <c r="F160" s="67">
        <f>1.6-(-1.26)</f>
        <v>2.8600000000000003</v>
      </c>
    </row>
    <row r="161" spans="3:6" s="3" customFormat="1">
      <c r="C161" s="67" t="s">
        <v>579</v>
      </c>
      <c r="D161" s="67">
        <v>116.11</v>
      </c>
      <c r="E161" s="67">
        <v>19.79</v>
      </c>
      <c r="F161" s="67">
        <f>1.71-(-1.08)</f>
        <v>2.79</v>
      </c>
    </row>
    <row r="162" spans="3:6" s="3" customFormat="1">
      <c r="C162" s="67" t="s">
        <v>580</v>
      </c>
      <c r="D162" s="67">
        <v>121.95</v>
      </c>
      <c r="E162" s="67">
        <v>16.16</v>
      </c>
      <c r="F162" s="67">
        <f>1.98-(-0.89)</f>
        <v>2.87</v>
      </c>
    </row>
    <row r="163" spans="3:6" s="3" customFormat="1">
      <c r="C163" s="67" t="s">
        <v>581</v>
      </c>
      <c r="D163" s="67">
        <v>121.61</v>
      </c>
      <c r="E163" s="67">
        <v>21.6</v>
      </c>
      <c r="F163" s="67">
        <f>1.93-(-0.85)</f>
        <v>2.78</v>
      </c>
    </row>
    <row r="164" spans="3:6" s="3" customFormat="1">
      <c r="C164" s="67" t="s">
        <v>582</v>
      </c>
      <c r="D164" s="67">
        <v>103.63</v>
      </c>
      <c r="E164" s="67">
        <v>19.760000000000002</v>
      </c>
      <c r="F164" s="67">
        <f>2.72-(-0.45)</f>
        <v>3.1700000000000004</v>
      </c>
    </row>
    <row r="165" spans="3:6" s="3" customFormat="1">
      <c r="C165" s="67" t="s">
        <v>583</v>
      </c>
      <c r="D165" s="67">
        <v>89.97</v>
      </c>
      <c r="E165" s="67">
        <v>16.62</v>
      </c>
      <c r="F165" s="67">
        <f>3.76-(0.08)</f>
        <v>3.6799999999999997</v>
      </c>
    </row>
    <row r="166" spans="3:6" s="3" customFormat="1">
      <c r="C166" s="67" t="s">
        <v>584</v>
      </c>
      <c r="D166" s="67">
        <v>74.41</v>
      </c>
      <c r="E166" s="67">
        <v>26.65</v>
      </c>
      <c r="F166" s="67">
        <f>3.51-(0.12)</f>
        <v>3.3899999999999997</v>
      </c>
    </row>
    <row r="167" spans="3:6" s="3" customFormat="1">
      <c r="C167" s="67" t="s">
        <v>587</v>
      </c>
      <c r="D167" s="67">
        <v>92.2</v>
      </c>
      <c r="E167" s="67">
        <v>19.68</v>
      </c>
      <c r="F167" s="67">
        <f>3.83-(0.24)</f>
        <v>3.59</v>
      </c>
    </row>
    <row r="168" spans="3:6" s="3" customFormat="1">
      <c r="C168" s="67" t="s">
        <v>585</v>
      </c>
      <c r="D168" s="67">
        <v>91.93</v>
      </c>
      <c r="E168" s="67">
        <v>22.93</v>
      </c>
      <c r="F168" s="67">
        <f>3.82-0.15</f>
        <v>3.67</v>
      </c>
    </row>
    <row r="169" spans="3:6" s="3" customFormat="1">
      <c r="C169" s="67" t="s">
        <v>586</v>
      </c>
      <c r="D169" s="67">
        <v>109.8</v>
      </c>
      <c r="E169" s="67">
        <v>33.24</v>
      </c>
      <c r="F169" s="67">
        <f>5.73-0.34</f>
        <v>5.3900000000000006</v>
      </c>
    </row>
    <row r="170" spans="3:6" s="3" customFormat="1">
      <c r="C170" s="67" t="s">
        <v>588</v>
      </c>
      <c r="D170" s="67">
        <v>124.69</v>
      </c>
      <c r="E170" s="67">
        <v>19.04</v>
      </c>
      <c r="F170" s="67">
        <f>4.66-0.31</f>
        <v>4.3500000000000005</v>
      </c>
    </row>
    <row r="171" spans="3:6" s="3" customFormat="1">
      <c r="C171" s="67" t="s">
        <v>589</v>
      </c>
      <c r="D171" s="67">
        <v>64.03</v>
      </c>
      <c r="E171" s="67">
        <v>17.72</v>
      </c>
      <c r="F171" s="67">
        <f>3.98-0.71</f>
        <v>3.27</v>
      </c>
    </row>
    <row r="172" spans="3:6" s="3" customFormat="1">
      <c r="C172" s="67" t="s">
        <v>590</v>
      </c>
      <c r="D172" s="67">
        <v>83.17</v>
      </c>
      <c r="E172" s="67">
        <v>17.97</v>
      </c>
      <c r="F172" s="110">
        <f>3.73-0.72</f>
        <v>3.01</v>
      </c>
    </row>
    <row r="173" spans="3:6" s="3" customFormat="1">
      <c r="C173" s="67" t="s">
        <v>591</v>
      </c>
      <c r="D173" s="67">
        <v>76.08</v>
      </c>
      <c r="E173" s="67">
        <v>16.3</v>
      </c>
      <c r="F173" s="67">
        <f>3.45-0.23</f>
        <v>3.22</v>
      </c>
    </row>
    <row r="174" spans="3:6" s="3" customFormat="1">
      <c r="C174" s="67" t="s">
        <v>592</v>
      </c>
      <c r="D174" s="67">
        <v>79.06</v>
      </c>
      <c r="E174" s="67">
        <v>15.32</v>
      </c>
      <c r="F174" s="67">
        <f>3.47-0.07</f>
        <v>3.4000000000000004</v>
      </c>
    </row>
    <row r="175" spans="3:6" s="3" customFormat="1">
      <c r="C175" s="67" t="s">
        <v>593</v>
      </c>
      <c r="D175" s="67">
        <v>102.9</v>
      </c>
      <c r="E175" s="67">
        <v>15.45</v>
      </c>
      <c r="F175" s="67">
        <f>3.23-0.36</f>
        <v>2.87</v>
      </c>
    </row>
    <row r="176" spans="3:6" s="3" customFormat="1">
      <c r="C176" s="67" t="s">
        <v>594</v>
      </c>
      <c r="D176" s="67">
        <v>89.2</v>
      </c>
      <c r="E176" s="67">
        <v>16.27</v>
      </c>
      <c r="F176" s="67">
        <f>4.18-0.82</f>
        <v>3.36</v>
      </c>
    </row>
    <row r="177" spans="1:9" s="3" customFormat="1">
      <c r="C177" s="67" t="s">
        <v>595</v>
      </c>
      <c r="D177" s="67">
        <v>82.59</v>
      </c>
      <c r="E177" s="67">
        <v>20.78</v>
      </c>
      <c r="F177" s="67">
        <f>3.58-0.79</f>
        <v>2.79</v>
      </c>
    </row>
    <row r="178" spans="1:9" s="3" customFormat="1">
      <c r="C178" s="67" t="s">
        <v>596</v>
      </c>
      <c r="D178" s="67">
        <v>78.86</v>
      </c>
      <c r="E178" s="67">
        <f>9.69+9.07</f>
        <v>18.759999999999998</v>
      </c>
      <c r="F178" s="67">
        <f>3.6-0.85</f>
        <v>2.75</v>
      </c>
    </row>
    <row r="179" spans="1:9" s="3" customFormat="1">
      <c r="C179" s="67" t="s">
        <v>597</v>
      </c>
      <c r="D179" s="67">
        <v>121.31</v>
      </c>
      <c r="E179" s="67">
        <v>11.91</v>
      </c>
      <c r="F179" s="67">
        <f>3.39-0.86</f>
        <v>2.5300000000000002</v>
      </c>
    </row>
    <row r="180" spans="1:9" s="3" customFormat="1" ht="14.65" thickBot="1">
      <c r="C180" s="67" t="s">
        <v>598</v>
      </c>
      <c r="D180" s="67">
        <v>83.51</v>
      </c>
      <c r="E180" s="67">
        <v>16.25</v>
      </c>
      <c r="F180" s="67">
        <f>3.37-0.44</f>
        <v>2.93</v>
      </c>
    </row>
    <row r="181" spans="1:9" ht="15" thickTop="1" thickBot="1">
      <c r="B181" s="109"/>
      <c r="C181" s="114"/>
      <c r="D181" s="111">
        <f>SUM(D115:D180)</f>
        <v>4810.9600000000009</v>
      </c>
      <c r="E181" s="113">
        <f>AVERAGE(E115:E180)</f>
        <v>23.987878787878788</v>
      </c>
      <c r="F181" s="113">
        <f>AVERAGE(F115:F180)</f>
        <v>3.288484848484849</v>
      </c>
      <c r="G181" s="109"/>
      <c r="H181" s="109"/>
      <c r="I181" s="109"/>
    </row>
    <row r="182" spans="1:9" ht="14.65" thickTop="1">
      <c r="C182" s="67"/>
      <c r="D182" s="67"/>
      <c r="E182" s="67"/>
      <c r="F182" s="67"/>
    </row>
    <row r="183" spans="1:9" ht="14.65" thickBot="1"/>
    <row r="184" spans="1:9" s="3" customFormat="1" ht="29.25" thickTop="1" thickBot="1">
      <c r="A184" s="107" t="s">
        <v>439</v>
      </c>
      <c r="B184" s="108"/>
      <c r="C184" s="108" t="str">
        <f>C11</f>
        <v>Jembatan Lempake - Waduk Benanga</v>
      </c>
      <c r="D184" s="108" t="s">
        <v>485</v>
      </c>
      <c r="E184" s="108" t="s">
        <v>486</v>
      </c>
      <c r="F184" s="108" t="s">
        <v>487</v>
      </c>
      <c r="G184" s="108"/>
      <c r="H184" s="108"/>
      <c r="I184" s="108"/>
    </row>
    <row r="185" spans="1:9" ht="14.65" thickTop="1">
      <c r="C185" s="67" t="s">
        <v>599</v>
      </c>
      <c r="D185" s="67">
        <v>100.19</v>
      </c>
      <c r="E185" s="67">
        <v>14.65</v>
      </c>
      <c r="F185" s="67">
        <f>3.35-0.63</f>
        <v>2.72</v>
      </c>
    </row>
    <row r="186" spans="1:9">
      <c r="C186" s="67" t="s">
        <v>600</v>
      </c>
      <c r="D186" s="67">
        <v>55.06</v>
      </c>
      <c r="E186" s="67">
        <v>14.12</v>
      </c>
      <c r="F186" s="67">
        <f>3.49-0.71</f>
        <v>2.7800000000000002</v>
      </c>
    </row>
    <row r="187" spans="1:9">
      <c r="C187" s="67" t="s">
        <v>601</v>
      </c>
      <c r="D187" s="67">
        <v>95.7</v>
      </c>
      <c r="E187" s="67">
        <v>10.4</v>
      </c>
      <c r="F187" s="67">
        <f>3.55-0.81</f>
        <v>2.7399999999999998</v>
      </c>
    </row>
    <row r="188" spans="1:9">
      <c r="C188" s="67" t="s">
        <v>602</v>
      </c>
      <c r="D188" s="67">
        <v>71.489999999999995</v>
      </c>
      <c r="E188" s="67">
        <v>12.9</v>
      </c>
      <c r="F188" s="67">
        <f>3.2-0.82</f>
        <v>2.3800000000000003</v>
      </c>
    </row>
    <row r="189" spans="1:9">
      <c r="C189" s="67" t="s">
        <v>603</v>
      </c>
      <c r="D189" s="67">
        <v>98.52</v>
      </c>
      <c r="E189" s="67">
        <v>15.49</v>
      </c>
      <c r="F189" s="67">
        <f>3.64-0.71</f>
        <v>2.93</v>
      </c>
    </row>
    <row r="190" spans="1:9">
      <c r="C190" s="67" t="s">
        <v>604</v>
      </c>
      <c r="D190" s="67">
        <v>58.72</v>
      </c>
      <c r="E190" s="67">
        <v>14.54</v>
      </c>
      <c r="F190" s="67">
        <f>3.27-0.5</f>
        <v>2.77</v>
      </c>
    </row>
    <row r="191" spans="1:9">
      <c r="C191" s="67" t="s">
        <v>605</v>
      </c>
      <c r="D191" s="67">
        <v>83.72</v>
      </c>
      <c r="E191" s="67">
        <v>10.63</v>
      </c>
      <c r="F191" s="67">
        <f>3.73-1.13</f>
        <v>2.6</v>
      </c>
    </row>
    <row r="192" spans="1:9">
      <c r="C192" s="67" t="s">
        <v>606</v>
      </c>
      <c r="D192" s="67">
        <v>48.49</v>
      </c>
      <c r="E192" s="67">
        <v>11.82</v>
      </c>
      <c r="F192" s="67">
        <f>4.43-1.78</f>
        <v>2.6499999999999995</v>
      </c>
    </row>
    <row r="193" spans="3:6">
      <c r="C193" s="67" t="s">
        <v>607</v>
      </c>
      <c r="D193" s="67">
        <v>62.64</v>
      </c>
      <c r="E193" s="67">
        <v>14.99</v>
      </c>
      <c r="F193" s="67">
        <f>4.57-1.81</f>
        <v>2.7600000000000002</v>
      </c>
    </row>
    <row r="194" spans="3:6">
      <c r="C194" s="67" t="s">
        <v>608</v>
      </c>
      <c r="D194" s="67">
        <v>43.27</v>
      </c>
      <c r="E194" s="67">
        <v>13.46</v>
      </c>
      <c r="F194" s="67">
        <f>4.61-1.7</f>
        <v>2.91</v>
      </c>
    </row>
    <row r="195" spans="3:6">
      <c r="C195" s="67" t="s">
        <v>609</v>
      </c>
      <c r="D195" s="67">
        <v>86.53</v>
      </c>
      <c r="E195" s="67">
        <v>9.09</v>
      </c>
      <c r="F195" s="67">
        <f>4.57-1.97</f>
        <v>2.6000000000000005</v>
      </c>
    </row>
    <row r="196" spans="3:6">
      <c r="C196" s="67" t="s">
        <v>610</v>
      </c>
      <c r="D196" s="67">
        <v>65.540000000000006</v>
      </c>
      <c r="E196" s="67">
        <v>9.84</v>
      </c>
      <c r="F196" s="67">
        <f>4.3-2.01</f>
        <v>2.29</v>
      </c>
    </row>
    <row r="197" spans="3:6">
      <c r="C197" s="67" t="s">
        <v>611</v>
      </c>
      <c r="D197" s="67">
        <v>28.43</v>
      </c>
      <c r="E197" s="67">
        <v>11.63</v>
      </c>
      <c r="F197" s="67">
        <f>4.68-2.04</f>
        <v>2.6399999999999997</v>
      </c>
    </row>
    <row r="198" spans="3:6">
      <c r="C198" s="67" t="s">
        <v>612</v>
      </c>
      <c r="D198" s="67">
        <v>102.06</v>
      </c>
      <c r="E198" s="67">
        <v>12.75</v>
      </c>
      <c r="F198" s="67">
        <f>4.77-2.13</f>
        <v>2.6399999999999997</v>
      </c>
    </row>
    <row r="199" spans="3:6">
      <c r="C199" s="67" t="s">
        <v>613</v>
      </c>
      <c r="D199" s="67">
        <v>41.4</v>
      </c>
      <c r="E199" s="67">
        <v>8.49</v>
      </c>
      <c r="F199" s="67">
        <f>4.56-2.4</f>
        <v>2.1599999999999997</v>
      </c>
    </row>
    <row r="200" spans="3:6">
      <c r="C200" s="67" t="s">
        <v>614</v>
      </c>
      <c r="D200" s="67">
        <v>105.33</v>
      </c>
      <c r="E200" s="67">
        <v>11.47</v>
      </c>
      <c r="F200" s="67">
        <f>4.3-2.04</f>
        <v>2.2599999999999998</v>
      </c>
    </row>
    <row r="201" spans="3:6">
      <c r="C201" s="67" t="s">
        <v>615</v>
      </c>
      <c r="D201" s="67">
        <v>57.58</v>
      </c>
      <c r="E201" s="67">
        <v>10.88</v>
      </c>
      <c r="F201" s="67">
        <f>4.32-1.52</f>
        <v>2.8000000000000003</v>
      </c>
    </row>
    <row r="202" spans="3:6">
      <c r="C202" s="67" t="s">
        <v>616</v>
      </c>
      <c r="D202" s="67">
        <v>57.69</v>
      </c>
      <c r="E202" s="67">
        <v>14.25</v>
      </c>
      <c r="F202" s="67">
        <f>4.57-1.49</f>
        <v>3.08</v>
      </c>
    </row>
    <row r="203" spans="3:6">
      <c r="C203" s="67" t="s">
        <v>617</v>
      </c>
      <c r="D203" s="67">
        <v>153.53</v>
      </c>
      <c r="E203" s="67">
        <v>16.04</v>
      </c>
      <c r="F203" s="67">
        <f>4.49-1.49</f>
        <v>3</v>
      </c>
    </row>
    <row r="204" spans="3:6">
      <c r="C204" s="67" t="s">
        <v>618</v>
      </c>
      <c r="D204" s="67">
        <v>85.94</v>
      </c>
      <c r="E204" s="67">
        <v>10.050000000000001</v>
      </c>
      <c r="F204" s="67">
        <f>3.95-1.35</f>
        <v>2.6</v>
      </c>
    </row>
    <row r="205" spans="3:6">
      <c r="C205" s="67" t="s">
        <v>622</v>
      </c>
      <c r="D205" s="67">
        <v>90.12</v>
      </c>
      <c r="E205" s="67">
        <v>7.87</v>
      </c>
      <c r="F205" s="67">
        <f>3.97-1.22</f>
        <v>2.75</v>
      </c>
    </row>
    <row r="206" spans="3:6">
      <c r="C206" s="67" t="s">
        <v>623</v>
      </c>
      <c r="D206" s="67">
        <v>120.12</v>
      </c>
      <c r="E206" s="67">
        <v>14.55</v>
      </c>
      <c r="F206" s="67">
        <f>4.24-1.48</f>
        <v>2.7600000000000002</v>
      </c>
    </row>
    <row r="207" spans="3:6">
      <c r="C207" s="67" t="s">
        <v>619</v>
      </c>
      <c r="D207" s="67">
        <v>128.29</v>
      </c>
      <c r="E207" s="67">
        <v>11.26</v>
      </c>
      <c r="F207" s="67">
        <f>4.62-1.43</f>
        <v>3.1900000000000004</v>
      </c>
    </row>
    <row r="208" spans="3:6">
      <c r="C208" s="67" t="s">
        <v>620</v>
      </c>
      <c r="D208" s="67">
        <v>132.35</v>
      </c>
      <c r="E208" s="67">
        <v>12.41</v>
      </c>
      <c r="F208" s="67">
        <f>4.53-1.82</f>
        <v>2.71</v>
      </c>
    </row>
    <row r="209" spans="3:6">
      <c r="C209" s="67" t="s">
        <v>621</v>
      </c>
      <c r="D209" s="67">
        <v>102.7</v>
      </c>
      <c r="E209" s="67">
        <v>7.75</v>
      </c>
      <c r="F209" s="67">
        <f>4.45-1.7</f>
        <v>2.75</v>
      </c>
    </row>
    <row r="210" spans="3:6">
      <c r="C210" s="67" t="s">
        <v>624</v>
      </c>
      <c r="D210" s="67">
        <v>76.069999999999993</v>
      </c>
      <c r="E210" s="67">
        <v>9.25</v>
      </c>
      <c r="F210" s="67">
        <f>4.36-1.8</f>
        <v>2.5600000000000005</v>
      </c>
    </row>
    <row r="211" spans="3:6">
      <c r="C211" s="67" t="s">
        <v>625</v>
      </c>
      <c r="D211" s="67">
        <v>50</v>
      </c>
      <c r="E211" s="67">
        <v>13.92</v>
      </c>
      <c r="F211" s="67">
        <f>4.5-2.02</f>
        <v>2.48</v>
      </c>
    </row>
    <row r="212" spans="3:6">
      <c r="C212" s="67" t="s">
        <v>626</v>
      </c>
      <c r="D212" s="67">
        <v>66.819999999999993</v>
      </c>
      <c r="E212" s="67">
        <v>10.3</v>
      </c>
      <c r="F212" s="67">
        <f>4.52-2.07</f>
        <v>2.4499999999999997</v>
      </c>
    </row>
    <row r="213" spans="3:6">
      <c r="C213" s="67" t="s">
        <v>627</v>
      </c>
      <c r="D213" s="67">
        <v>58.18</v>
      </c>
      <c r="E213" s="67">
        <v>15.1</v>
      </c>
      <c r="F213" s="67">
        <f>4.53-2.1</f>
        <v>2.4300000000000002</v>
      </c>
    </row>
    <row r="214" spans="3:6">
      <c r="C214" s="67" t="s">
        <v>628</v>
      </c>
      <c r="D214" s="67">
        <v>60.16</v>
      </c>
      <c r="E214" s="67">
        <v>9.84</v>
      </c>
      <c r="F214" s="67">
        <f>4.99-2.31</f>
        <v>2.68</v>
      </c>
    </row>
    <row r="215" spans="3:6">
      <c r="C215" s="67" t="s">
        <v>629</v>
      </c>
      <c r="D215" s="67">
        <v>135.22999999999999</v>
      </c>
      <c r="E215" s="67">
        <v>10.44</v>
      </c>
      <c r="F215" s="67">
        <f>5.3-1.79</f>
        <v>3.51</v>
      </c>
    </row>
    <row r="216" spans="3:6">
      <c r="C216" s="67" t="s">
        <v>630</v>
      </c>
      <c r="D216" s="67">
        <v>110.06</v>
      </c>
      <c r="E216" s="67">
        <v>8.9700000000000006</v>
      </c>
      <c r="F216" s="67">
        <f>4.91-2.19</f>
        <v>2.72</v>
      </c>
    </row>
    <row r="217" spans="3:6">
      <c r="C217" s="67" t="s">
        <v>631</v>
      </c>
      <c r="D217" s="67">
        <v>36.32</v>
      </c>
      <c r="E217" s="67">
        <v>12.44</v>
      </c>
      <c r="F217" s="67">
        <f>4.82-1.83</f>
        <v>2.99</v>
      </c>
    </row>
    <row r="218" spans="3:6">
      <c r="C218" s="67" t="s">
        <v>632</v>
      </c>
      <c r="D218" s="67">
        <v>72.81</v>
      </c>
      <c r="E218" s="67">
        <v>34.83</v>
      </c>
      <c r="F218" s="67">
        <f>4.89-1.76</f>
        <v>3.13</v>
      </c>
    </row>
    <row r="219" spans="3:6">
      <c r="C219" s="67" t="s">
        <v>633</v>
      </c>
      <c r="D219" s="67">
        <v>63.86</v>
      </c>
      <c r="E219" s="67">
        <v>10.53</v>
      </c>
      <c r="F219" s="67">
        <f>4.84-1.58</f>
        <v>3.26</v>
      </c>
    </row>
    <row r="220" spans="3:6">
      <c r="C220" s="67" t="s">
        <v>634</v>
      </c>
      <c r="D220" s="67">
        <v>48.74</v>
      </c>
      <c r="E220" s="67">
        <v>13.33</v>
      </c>
      <c r="F220" s="67">
        <f>4.53-1.37</f>
        <v>3.16</v>
      </c>
    </row>
    <row r="221" spans="3:6">
      <c r="C221" s="67" t="s">
        <v>635</v>
      </c>
      <c r="D221" s="67">
        <v>99.9</v>
      </c>
      <c r="E221" s="67">
        <v>12.49</v>
      </c>
      <c r="F221" s="67">
        <f>4.75-1.75</f>
        <v>3</v>
      </c>
    </row>
    <row r="222" spans="3:6">
      <c r="C222" s="67" t="s">
        <v>636</v>
      </c>
      <c r="D222" s="67">
        <v>45.01</v>
      </c>
      <c r="E222" s="67">
        <v>11.79</v>
      </c>
      <c r="F222" s="67">
        <f>4.65-1.66</f>
        <v>2.99</v>
      </c>
    </row>
    <row r="223" spans="3:6">
      <c r="C223" s="67" t="s">
        <v>637</v>
      </c>
      <c r="D223" s="67">
        <v>57.55</v>
      </c>
      <c r="E223" s="67">
        <v>13.15</v>
      </c>
      <c r="F223" s="67">
        <f>4.76-1.41</f>
        <v>3.3499999999999996</v>
      </c>
    </row>
    <row r="224" spans="3:6">
      <c r="C224" s="67" t="s">
        <v>638</v>
      </c>
      <c r="D224" s="67">
        <v>95.52</v>
      </c>
      <c r="E224" s="67">
        <v>10.16</v>
      </c>
      <c r="F224" s="67">
        <f>4.56-1.68</f>
        <v>2.88</v>
      </c>
    </row>
    <row r="225" spans="3:6">
      <c r="C225" s="67" t="s">
        <v>639</v>
      </c>
      <c r="D225" s="67">
        <v>77.78</v>
      </c>
      <c r="E225" s="67">
        <v>15.6</v>
      </c>
      <c r="F225" s="67">
        <f>4.78-1.2</f>
        <v>3.58</v>
      </c>
    </row>
    <row r="226" spans="3:6">
      <c r="C226" s="67" t="s">
        <v>640</v>
      </c>
      <c r="D226" s="67">
        <v>138.1</v>
      </c>
      <c r="E226" s="67">
        <v>16.25</v>
      </c>
      <c r="F226" s="67">
        <f>5.03-1.74</f>
        <v>3.29</v>
      </c>
    </row>
    <row r="227" spans="3:6">
      <c r="C227" s="67" t="s">
        <v>641</v>
      </c>
      <c r="D227" s="67">
        <v>73.12</v>
      </c>
      <c r="E227" s="67">
        <v>12.01</v>
      </c>
      <c r="F227" s="67">
        <f>4.71-1.69</f>
        <v>3.02</v>
      </c>
    </row>
    <row r="228" spans="3:6">
      <c r="C228" s="67" t="s">
        <v>642</v>
      </c>
      <c r="D228" s="67">
        <v>92.43</v>
      </c>
      <c r="E228" s="67">
        <v>9.74</v>
      </c>
      <c r="F228" s="67">
        <f>4.75-1.42</f>
        <v>3.33</v>
      </c>
    </row>
    <row r="229" spans="3:6">
      <c r="C229" s="67" t="s">
        <v>643</v>
      </c>
      <c r="D229" s="67">
        <v>85.35</v>
      </c>
      <c r="E229" s="67">
        <v>15.12</v>
      </c>
      <c r="F229" s="67">
        <f>4.81-1.71</f>
        <v>3.0999999999999996</v>
      </c>
    </row>
    <row r="230" spans="3:6">
      <c r="C230" s="67" t="s">
        <v>644</v>
      </c>
      <c r="D230" s="67">
        <v>70.459999999999994</v>
      </c>
      <c r="E230" s="67">
        <v>10.51</v>
      </c>
      <c r="F230" s="67">
        <f>4.58-1.65</f>
        <v>2.93</v>
      </c>
    </row>
    <row r="231" spans="3:6">
      <c r="C231" s="67" t="s">
        <v>645</v>
      </c>
      <c r="D231" s="67">
        <v>62.45</v>
      </c>
      <c r="E231" s="67">
        <v>11.43</v>
      </c>
      <c r="F231" s="67">
        <f>4.69-1.97</f>
        <v>2.7200000000000006</v>
      </c>
    </row>
    <row r="232" spans="3:6">
      <c r="C232" s="67" t="s">
        <v>646</v>
      </c>
      <c r="D232" s="67">
        <v>37.44</v>
      </c>
      <c r="E232" s="67">
        <v>18.559999999999999</v>
      </c>
      <c r="F232" s="67">
        <f>4.79-2.29</f>
        <v>2.5</v>
      </c>
    </row>
    <row r="233" spans="3:6">
      <c r="C233" s="67" t="s">
        <v>647</v>
      </c>
      <c r="D233" s="67">
        <v>82.39</v>
      </c>
      <c r="E233" s="67">
        <f>9.98+3.68</f>
        <v>13.66</v>
      </c>
      <c r="F233" s="67">
        <f>4.78-2.43</f>
        <v>2.35</v>
      </c>
    </row>
    <row r="234" spans="3:6" s="3" customFormat="1">
      <c r="C234" s="67" t="s">
        <v>648</v>
      </c>
      <c r="D234" s="67">
        <v>71.02</v>
      </c>
      <c r="E234" s="67">
        <v>9.43</v>
      </c>
      <c r="F234" s="67">
        <f>4.96-1.85</f>
        <v>3.11</v>
      </c>
    </row>
    <row r="235" spans="3:6" s="3" customFormat="1">
      <c r="C235" s="67" t="s">
        <v>649</v>
      </c>
      <c r="D235" s="67">
        <v>57.03</v>
      </c>
      <c r="E235" s="67">
        <v>11.94</v>
      </c>
      <c r="F235" s="67">
        <f>4.94-2.09</f>
        <v>2.8500000000000005</v>
      </c>
    </row>
    <row r="236" spans="3:6" s="3" customFormat="1">
      <c r="C236" s="67" t="s">
        <v>650</v>
      </c>
      <c r="D236" s="67">
        <v>68.849999999999994</v>
      </c>
      <c r="E236" s="67">
        <v>12.04</v>
      </c>
      <c r="F236" s="67">
        <f>5.11-2.43</f>
        <v>2.68</v>
      </c>
    </row>
    <row r="237" spans="3:6" s="3" customFormat="1">
      <c r="C237" s="67" t="s">
        <v>651</v>
      </c>
      <c r="D237" s="67">
        <v>76.58</v>
      </c>
      <c r="E237" s="67">
        <v>13.05</v>
      </c>
      <c r="F237" s="67">
        <f>5.21-2.37</f>
        <v>2.84</v>
      </c>
    </row>
    <row r="238" spans="3:6" s="3" customFormat="1">
      <c r="C238" s="67" t="s">
        <v>652</v>
      </c>
      <c r="D238" s="67">
        <v>59.94</v>
      </c>
      <c r="E238" s="67">
        <v>22.2</v>
      </c>
      <c r="F238" s="67">
        <f>5.28-2.37</f>
        <v>2.91</v>
      </c>
    </row>
    <row r="239" spans="3:6">
      <c r="C239" s="67" t="s">
        <v>653</v>
      </c>
      <c r="D239" s="67">
        <v>88.33</v>
      </c>
      <c r="E239" s="67">
        <f>7.18+6.65</f>
        <v>13.83</v>
      </c>
      <c r="F239" s="67">
        <f>5.32-1.96</f>
        <v>3.3600000000000003</v>
      </c>
    </row>
    <row r="240" spans="3:6" s="3" customFormat="1">
      <c r="C240" s="67" t="s">
        <v>654</v>
      </c>
      <c r="D240" s="67">
        <v>57.13</v>
      </c>
      <c r="E240" s="67">
        <v>14.29</v>
      </c>
      <c r="F240" s="67">
        <f>5.18-2.2</f>
        <v>2.9799999999999995</v>
      </c>
    </row>
    <row r="241" spans="3:6" s="3" customFormat="1">
      <c r="C241" s="67" t="s">
        <v>655</v>
      </c>
      <c r="D241" s="67">
        <v>74.62</v>
      </c>
      <c r="E241" s="67">
        <v>11.89</v>
      </c>
      <c r="F241" s="67">
        <f>5.17-2.29</f>
        <v>2.88</v>
      </c>
    </row>
    <row r="242" spans="3:6" s="3" customFormat="1">
      <c r="C242" s="67" t="s">
        <v>656</v>
      </c>
      <c r="D242" s="67">
        <v>70.89</v>
      </c>
      <c r="E242" s="67">
        <v>12.87</v>
      </c>
      <c r="F242" s="67">
        <f>4.98-2.04</f>
        <v>2.9400000000000004</v>
      </c>
    </row>
    <row r="243" spans="3:6" s="3" customFormat="1">
      <c r="C243" s="67" t="s">
        <v>657</v>
      </c>
      <c r="D243" s="67">
        <v>59.56</v>
      </c>
      <c r="E243" s="67">
        <v>20.18</v>
      </c>
      <c r="F243" s="67">
        <f>4.92-2.03</f>
        <v>2.89</v>
      </c>
    </row>
    <row r="244" spans="3:6" s="3" customFormat="1">
      <c r="C244" s="67" t="s">
        <v>658</v>
      </c>
      <c r="D244" s="67">
        <v>66.92</v>
      </c>
      <c r="E244" s="67">
        <v>17.12</v>
      </c>
      <c r="F244" s="67">
        <f>5.1-1.39</f>
        <v>3.71</v>
      </c>
    </row>
    <row r="245" spans="3:6" s="3" customFormat="1">
      <c r="C245" s="67" t="s">
        <v>659</v>
      </c>
      <c r="D245" s="67">
        <v>67.150000000000006</v>
      </c>
      <c r="E245" s="67">
        <v>17.420000000000002</v>
      </c>
      <c r="F245" s="67">
        <f>5.22-1.06</f>
        <v>4.16</v>
      </c>
    </row>
    <row r="246" spans="3:6" s="3" customFormat="1">
      <c r="C246" s="67" t="s">
        <v>660</v>
      </c>
      <c r="D246" s="67">
        <v>50.49</v>
      </c>
      <c r="E246" s="67">
        <v>17.47</v>
      </c>
      <c r="F246" s="67">
        <f>5.07-1.71</f>
        <v>3.3600000000000003</v>
      </c>
    </row>
    <row r="247" spans="3:6" s="3" customFormat="1">
      <c r="C247" s="67" t="s">
        <v>661</v>
      </c>
      <c r="D247" s="67">
        <v>72.650000000000006</v>
      </c>
      <c r="E247" s="67">
        <v>18.670000000000002</v>
      </c>
      <c r="F247" s="67">
        <f>4.95-1.97</f>
        <v>2.9800000000000004</v>
      </c>
    </row>
    <row r="248" spans="3:6" s="3" customFormat="1">
      <c r="C248" s="67" t="s">
        <v>662</v>
      </c>
      <c r="D248" s="67">
        <v>86.1</v>
      </c>
      <c r="E248" s="67">
        <v>19.98</v>
      </c>
      <c r="F248" s="67">
        <f>5.07-1.78</f>
        <v>3.29</v>
      </c>
    </row>
    <row r="249" spans="3:6" s="3" customFormat="1">
      <c r="C249" s="67" t="s">
        <v>663</v>
      </c>
      <c r="D249" s="67">
        <v>55.24</v>
      </c>
      <c r="E249" s="67">
        <v>15.93</v>
      </c>
      <c r="F249" s="67">
        <f>5.02-2.23</f>
        <v>2.7899999999999996</v>
      </c>
    </row>
    <row r="250" spans="3:6" s="3" customFormat="1">
      <c r="C250" s="67" t="s">
        <v>664</v>
      </c>
      <c r="D250" s="67">
        <v>73.13</v>
      </c>
      <c r="E250" s="67">
        <v>17.98</v>
      </c>
      <c r="F250" s="67">
        <f>4.95-2.32</f>
        <v>2.6300000000000003</v>
      </c>
    </row>
    <row r="251" spans="3:6" s="3" customFormat="1">
      <c r="C251" s="67" t="s">
        <v>665</v>
      </c>
      <c r="D251" s="67">
        <v>73.180000000000007</v>
      </c>
      <c r="E251" s="67">
        <v>21.08</v>
      </c>
      <c r="F251" s="67">
        <f>5.39-1.81</f>
        <v>3.5799999999999996</v>
      </c>
    </row>
    <row r="252" spans="3:6" s="3" customFormat="1">
      <c r="C252" s="67" t="s">
        <v>666</v>
      </c>
      <c r="D252" s="67">
        <v>64.849999999999994</v>
      </c>
      <c r="E252" s="67">
        <v>20.85</v>
      </c>
      <c r="F252" s="67">
        <f>5.12-1.39</f>
        <v>3.7300000000000004</v>
      </c>
    </row>
    <row r="253" spans="3:6" s="3" customFormat="1">
      <c r="C253" s="67" t="s">
        <v>667</v>
      </c>
      <c r="D253" s="67">
        <v>62.39</v>
      </c>
      <c r="E253" s="67">
        <v>19.62</v>
      </c>
      <c r="F253" s="67">
        <f>5.06-2.28</f>
        <v>2.78</v>
      </c>
    </row>
    <row r="254" spans="3:6" s="3" customFormat="1">
      <c r="C254" s="67" t="s">
        <v>668</v>
      </c>
      <c r="D254" s="67">
        <v>105.55</v>
      </c>
      <c r="E254" s="67">
        <v>19.62</v>
      </c>
      <c r="F254" s="67">
        <f>5.18-2.15</f>
        <v>3.03</v>
      </c>
    </row>
    <row r="255" spans="3:6" s="3" customFormat="1">
      <c r="C255" s="67" t="s">
        <v>669</v>
      </c>
      <c r="D255" s="67">
        <v>60.82</v>
      </c>
      <c r="E255" s="67">
        <v>19.11</v>
      </c>
      <c r="F255" s="67">
        <f>5.48-2.44</f>
        <v>3.0400000000000005</v>
      </c>
    </row>
    <row r="256" spans="3:6" s="3" customFormat="1">
      <c r="C256" s="67" t="s">
        <v>670</v>
      </c>
      <c r="D256" s="67">
        <v>76.86</v>
      </c>
      <c r="E256" s="67">
        <v>18.88</v>
      </c>
      <c r="F256" s="67">
        <f>5.58-2.46</f>
        <v>3.12</v>
      </c>
    </row>
    <row r="257" spans="2:9" s="3" customFormat="1">
      <c r="C257" s="67" t="s">
        <v>671</v>
      </c>
      <c r="D257" s="67">
        <v>41.55</v>
      </c>
      <c r="E257" s="67">
        <v>15.05</v>
      </c>
      <c r="F257" s="67">
        <f>5.5-2.28</f>
        <v>3.22</v>
      </c>
    </row>
    <row r="258" spans="2:9" s="3" customFormat="1">
      <c r="C258" s="67" t="s">
        <v>672</v>
      </c>
      <c r="D258" s="67">
        <v>104.17</v>
      </c>
      <c r="E258" s="67">
        <v>15.87</v>
      </c>
      <c r="F258" s="67">
        <f>5.43-2.16</f>
        <v>3.2699999999999996</v>
      </c>
    </row>
    <row r="259" spans="2:9" s="3" customFormat="1">
      <c r="C259" s="67" t="s">
        <v>673</v>
      </c>
      <c r="D259" s="67">
        <v>84.81</v>
      </c>
      <c r="E259" s="67">
        <v>20.38</v>
      </c>
      <c r="F259" s="67">
        <f>5.87-2.25</f>
        <v>3.62</v>
      </c>
    </row>
    <row r="260" spans="2:9" s="3" customFormat="1">
      <c r="C260" s="67" t="s">
        <v>674</v>
      </c>
      <c r="D260" s="67">
        <v>152.13999999999999</v>
      </c>
      <c r="E260" s="67">
        <v>15.37</v>
      </c>
      <c r="F260" s="67">
        <f>6.11-1.85</f>
        <v>4.26</v>
      </c>
    </row>
    <row r="261" spans="2:9" s="3" customFormat="1">
      <c r="C261" s="67" t="s">
        <v>675</v>
      </c>
      <c r="D261" s="67">
        <v>80.95</v>
      </c>
      <c r="E261" s="67">
        <v>12.57</v>
      </c>
      <c r="F261" s="67">
        <f>6.28-2.34</f>
        <v>3.9400000000000004</v>
      </c>
    </row>
    <row r="262" spans="2:9" s="3" customFormat="1">
      <c r="C262" s="67" t="s">
        <v>676</v>
      </c>
      <c r="D262" s="67">
        <v>62.13</v>
      </c>
      <c r="E262" s="67">
        <v>13.47</v>
      </c>
      <c r="F262" s="67">
        <f>6.02-2.22</f>
        <v>3.7999999999999994</v>
      </c>
    </row>
    <row r="263" spans="2:9" s="3" customFormat="1">
      <c r="C263" s="67" t="s">
        <v>677</v>
      </c>
      <c r="D263" s="67">
        <v>86</v>
      </c>
      <c r="E263" s="67">
        <v>15.75</v>
      </c>
      <c r="F263" s="67">
        <f>6.02-2.2</f>
        <v>3.8199999999999994</v>
      </c>
    </row>
    <row r="264" spans="2:9" s="3" customFormat="1">
      <c r="C264" s="67" t="s">
        <v>678</v>
      </c>
      <c r="D264" s="67">
        <v>103.9</v>
      </c>
      <c r="E264" s="67">
        <v>16.260000000000002</v>
      </c>
      <c r="F264" s="67">
        <f>6.19-2.6</f>
        <v>3.5900000000000003</v>
      </c>
    </row>
    <row r="265" spans="2:9" s="3" customFormat="1">
      <c r="C265" s="67" t="s">
        <v>679</v>
      </c>
      <c r="D265" s="67">
        <v>97.1</v>
      </c>
      <c r="E265" s="67">
        <v>15.71</v>
      </c>
      <c r="F265" s="67">
        <f>7-2.87</f>
        <v>4.13</v>
      </c>
    </row>
    <row r="266" spans="2:9" s="3" customFormat="1" ht="14.65" thickBot="1">
      <c r="C266" s="67" t="s">
        <v>680</v>
      </c>
      <c r="D266" s="67">
        <v>54.67</v>
      </c>
      <c r="E266" s="67">
        <v>19.72</v>
      </c>
      <c r="F266" s="67">
        <f>7.01-3.39</f>
        <v>3.6199999999999997</v>
      </c>
    </row>
    <row r="267" spans="2:9" ht="15" thickTop="1" thickBot="1">
      <c r="B267" s="109"/>
      <c r="C267" s="109"/>
      <c r="D267" s="111">
        <f>SUM(D185:D266)</f>
        <v>6337.8600000000006</v>
      </c>
      <c r="E267" s="113">
        <f>AVERAGE(E185:E266)</f>
        <v>14.223780487804873</v>
      </c>
      <c r="F267" s="113">
        <f>AVERAGE(F185:F266)</f>
        <v>3.0096341463414631</v>
      </c>
      <c r="G267" s="109"/>
      <c r="H267" s="109"/>
      <c r="I267" s="109"/>
    </row>
    <row r="268" spans="2:9" ht="14.65" thickTop="1"/>
  </sheetData>
  <pageMargins left="0.7" right="0.7" top="0.75" bottom="0.75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19</vt:i4>
      </vt:variant>
    </vt:vector>
  </HeadingPairs>
  <TitlesOfParts>
    <vt:vector size="19" baseType="lpstr">
      <vt:lpstr>2014</vt:lpstr>
      <vt:lpstr>2015</vt:lpstr>
      <vt:lpstr>2017</vt:lpstr>
      <vt:lpstr>2018</vt:lpstr>
      <vt:lpstr>2019</vt:lpstr>
      <vt:lpstr>Data KA 5 Tahun Terakhir</vt:lpstr>
      <vt:lpstr>Data Hotel</vt:lpstr>
      <vt:lpstr>Data Rumah Sakit</vt:lpstr>
      <vt:lpstr>Loundry</vt:lpstr>
      <vt:lpstr>Peternakan</vt:lpstr>
      <vt:lpstr>Peternakan (BPS)</vt:lpstr>
      <vt:lpstr>Industry</vt:lpstr>
      <vt:lpstr>Domestik Penduduk</vt:lpstr>
      <vt:lpstr>Penggunaan Lahan</vt:lpstr>
      <vt:lpstr>Summary Penggunaan Lahan</vt:lpstr>
      <vt:lpstr>Data Klimatologi </vt:lpstr>
      <vt:lpstr>Data Solar Radiasi</vt:lpstr>
      <vt:lpstr>For Input </vt:lpstr>
      <vt:lpstr>Data Morfologi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achmad diansyukma</dc:creator>
  <cp:lastModifiedBy>achmad diansyukma</cp:lastModifiedBy>
  <dcterms:created xsi:type="dcterms:W3CDTF">2020-03-09T11:56:40Z</dcterms:created>
  <dcterms:modified xsi:type="dcterms:W3CDTF">2021-01-04T06:23:48Z</dcterms:modified>
</cp:coreProperties>
</file>